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DanhSachThiSinh" sheetId="1" r:id="rId1"/>
    <sheet name="MaNoiSinh" sheetId="4" r:id="rId2"/>
    <sheet name="Môn thi Cấp độ Dân tộc" sheetId="3" state="hidden" r:id="rId3"/>
    <sheet name="Index" sheetId="2" state="hidden" r:id="rId4"/>
  </sheets>
  <definedNames>
    <definedName name="_xlnm._FilterDatabase" localSheetId="1" hidden="1">MaNoiSinh!$B$2:$C$2</definedName>
    <definedName name="_xlnm._FilterDatabase" localSheetId="2" hidden="1">'Môn thi Cấp độ Dân tộc'!$B$7:$E$7</definedName>
    <definedName name="CAPDO">'Môn thi Cấp độ Dân tộc'!$C$8:$C$100</definedName>
    <definedName name="DANTOC">'Môn thi Cấp độ Dân tộc'!$D$8:$D$100</definedName>
    <definedName name="DICHVU">'Môn thi Cấp độ Dân tộc'!$E$8:$E$71</definedName>
    <definedName name="MANOISINH">'Môn thi Cấp độ Dân tộc'!$L$7:$M$376</definedName>
    <definedName name="MANS">MaNoiSinh!$B$3:$B$372</definedName>
    <definedName name="MNS">DanhSachThiSinh!$F:$F</definedName>
    <definedName name="MONTHI">'Môn thi Cấp độ Dân tộc'!$B$8:$B$100</definedName>
    <definedName name="NOISINH">'Môn thi Cấp độ Dân tộc'!$I$7:$I$69</definedName>
    <definedName name="NS">'Môn thi Cấp độ Dân tộc'!$J$2</definedName>
    <definedName name="QUANHUYEN">'Môn thi Cấp độ Dân tộc'!$G$7:$G$703</definedName>
    <definedName name="tbl_dsmonthicapdodantoc">'Môn thi Cấp độ Dân tộc'!$B$8:$D$100</definedName>
  </definedNames>
  <calcPr calcId="152511"/>
</workbook>
</file>

<file path=xl/calcChain.xml><?xml version="1.0" encoding="utf-8"?>
<calcChain xmlns="http://schemas.openxmlformats.org/spreadsheetml/2006/main">
  <c r="AO2000" i="1" l="1"/>
  <c r="N2000" i="1"/>
  <c r="G2000" i="1"/>
  <c r="A2000" i="1"/>
  <c r="AO1999" i="1"/>
  <c r="N1999" i="1"/>
  <c r="G1999" i="1"/>
  <c r="A1999" i="1"/>
  <c r="AO1998" i="1"/>
  <c r="N1998" i="1"/>
  <c r="G1998" i="1"/>
  <c r="A1998" i="1"/>
  <c r="AO1997" i="1"/>
  <c r="N1997" i="1"/>
  <c r="G1997" i="1"/>
  <c r="A1997" i="1"/>
  <c r="AO1996" i="1"/>
  <c r="N1996" i="1"/>
  <c r="G1996" i="1"/>
  <c r="A1996" i="1"/>
  <c r="AO1995" i="1"/>
  <c r="N1995" i="1"/>
  <c r="G1995" i="1"/>
  <c r="A1995" i="1"/>
  <c r="AO1994" i="1"/>
  <c r="N1994" i="1"/>
  <c r="G1994" i="1"/>
  <c r="A1994" i="1"/>
  <c r="AO1993" i="1"/>
  <c r="N1993" i="1"/>
  <c r="G1993" i="1"/>
  <c r="A1993" i="1"/>
  <c r="AO1992" i="1"/>
  <c r="N1992" i="1"/>
  <c r="G1992" i="1"/>
  <c r="A1992" i="1"/>
  <c r="AO1991" i="1"/>
  <c r="N1991" i="1"/>
  <c r="G1991" i="1"/>
  <c r="A1991" i="1"/>
  <c r="AO1990" i="1"/>
  <c r="N1990" i="1"/>
  <c r="G1990" i="1"/>
  <c r="A1990" i="1"/>
  <c r="AO1989" i="1"/>
  <c r="N1989" i="1"/>
  <c r="G1989" i="1"/>
  <c r="A1989" i="1"/>
  <c r="AO1988" i="1"/>
  <c r="N1988" i="1"/>
  <c r="G1988" i="1"/>
  <c r="A1988" i="1"/>
  <c r="AO1987" i="1"/>
  <c r="N1987" i="1"/>
  <c r="G1987" i="1"/>
  <c r="A1987" i="1"/>
  <c r="AO1986" i="1"/>
  <c r="N1986" i="1"/>
  <c r="G1986" i="1"/>
  <c r="A1986" i="1"/>
  <c r="AO1985" i="1"/>
  <c r="N1985" i="1"/>
  <c r="G1985" i="1"/>
  <c r="A1985" i="1"/>
  <c r="AO1984" i="1"/>
  <c r="N1984" i="1"/>
  <c r="G1984" i="1"/>
  <c r="A1984" i="1"/>
  <c r="AO1983" i="1"/>
  <c r="N1983" i="1"/>
  <c r="G1983" i="1"/>
  <c r="A1983" i="1"/>
  <c r="AO1982" i="1"/>
  <c r="N1982" i="1"/>
  <c r="G1982" i="1"/>
  <c r="A1982" i="1"/>
  <c r="AO1981" i="1"/>
  <c r="N1981" i="1"/>
  <c r="G1981" i="1"/>
  <c r="A1981" i="1"/>
  <c r="AO1980" i="1"/>
  <c r="N1980" i="1"/>
  <c r="G1980" i="1"/>
  <c r="A1980" i="1"/>
  <c r="AO1979" i="1"/>
  <c r="N1979" i="1"/>
  <c r="G1979" i="1"/>
  <c r="A1979" i="1"/>
  <c r="AO1978" i="1"/>
  <c r="N1978" i="1"/>
  <c r="G1978" i="1"/>
  <c r="A1978" i="1"/>
  <c r="AO1977" i="1"/>
  <c r="N1977" i="1"/>
  <c r="G1977" i="1"/>
  <c r="A1977" i="1"/>
  <c r="AO1976" i="1"/>
  <c r="N1976" i="1"/>
  <c r="G1976" i="1"/>
  <c r="A1976" i="1"/>
  <c r="AO1975" i="1"/>
  <c r="N1975" i="1"/>
  <c r="G1975" i="1"/>
  <c r="A1975" i="1"/>
  <c r="AO1974" i="1"/>
  <c r="N1974" i="1"/>
  <c r="G1974" i="1"/>
  <c r="A1974" i="1"/>
  <c r="AO1973" i="1"/>
  <c r="N1973" i="1"/>
  <c r="G1973" i="1"/>
  <c r="A1973" i="1"/>
  <c r="AO1972" i="1"/>
  <c r="N1972" i="1"/>
  <c r="G1972" i="1"/>
  <c r="A1972" i="1"/>
  <c r="AO1971" i="1"/>
  <c r="N1971" i="1"/>
  <c r="G1971" i="1"/>
  <c r="A1971" i="1"/>
  <c r="AO1970" i="1"/>
  <c r="N1970" i="1"/>
  <c r="G1970" i="1"/>
  <c r="A1970" i="1"/>
  <c r="AO1969" i="1"/>
  <c r="N1969" i="1"/>
  <c r="G1969" i="1"/>
  <c r="A1969" i="1"/>
  <c r="AO1968" i="1"/>
  <c r="N1968" i="1"/>
  <c r="G1968" i="1"/>
  <c r="A1968" i="1"/>
  <c r="AO1967" i="1"/>
  <c r="N1967" i="1"/>
  <c r="G1967" i="1"/>
  <c r="A1967" i="1"/>
  <c r="AO1966" i="1"/>
  <c r="N1966" i="1"/>
  <c r="G1966" i="1"/>
  <c r="A1966" i="1"/>
  <c r="AO1965" i="1"/>
  <c r="N1965" i="1"/>
  <c r="G1965" i="1"/>
  <c r="A1965" i="1"/>
  <c r="AO1964" i="1"/>
  <c r="N1964" i="1"/>
  <c r="G1964" i="1"/>
  <c r="A1964" i="1"/>
  <c r="AO1963" i="1"/>
  <c r="N1963" i="1"/>
  <c r="G1963" i="1"/>
  <c r="A1963" i="1"/>
  <c r="AO1962" i="1"/>
  <c r="N1962" i="1"/>
  <c r="G1962" i="1"/>
  <c r="A1962" i="1"/>
  <c r="AO1961" i="1"/>
  <c r="N1961" i="1"/>
  <c r="G1961" i="1"/>
  <c r="A1961" i="1"/>
  <c r="AO1960" i="1"/>
  <c r="N1960" i="1"/>
  <c r="G1960" i="1"/>
  <c r="A1960" i="1"/>
  <c r="AO1959" i="1"/>
  <c r="N1959" i="1"/>
  <c r="G1959" i="1"/>
  <c r="A1959" i="1"/>
  <c r="AO1958" i="1"/>
  <c r="N1958" i="1"/>
  <c r="G1958" i="1"/>
  <c r="A1958" i="1"/>
  <c r="AO1957" i="1"/>
  <c r="N1957" i="1"/>
  <c r="G1957" i="1"/>
  <c r="A1957" i="1"/>
  <c r="AO1956" i="1"/>
  <c r="N1956" i="1"/>
  <c r="G1956" i="1"/>
  <c r="A1956" i="1"/>
  <c r="AO1955" i="1"/>
  <c r="N1955" i="1"/>
  <c r="G1955" i="1"/>
  <c r="A1955" i="1"/>
  <c r="AO1954" i="1"/>
  <c r="N1954" i="1"/>
  <c r="G1954" i="1"/>
  <c r="A1954" i="1"/>
  <c r="AO1953" i="1"/>
  <c r="N1953" i="1"/>
  <c r="G1953" i="1"/>
  <c r="A1953" i="1"/>
  <c r="AO1952" i="1"/>
  <c r="N1952" i="1"/>
  <c r="G1952" i="1"/>
  <c r="A1952" i="1"/>
  <c r="AO1951" i="1"/>
  <c r="N1951" i="1"/>
  <c r="G1951" i="1"/>
  <c r="A1951" i="1"/>
  <c r="AO1950" i="1"/>
  <c r="N1950" i="1"/>
  <c r="G1950" i="1"/>
  <c r="A1950" i="1"/>
  <c r="AO1949" i="1"/>
  <c r="N1949" i="1"/>
  <c r="G1949" i="1"/>
  <c r="A1949" i="1"/>
  <c r="AO1948" i="1"/>
  <c r="N1948" i="1"/>
  <c r="G1948" i="1"/>
  <c r="A1948" i="1"/>
  <c r="AO1947" i="1"/>
  <c r="N1947" i="1"/>
  <c r="G1947" i="1"/>
  <c r="A1947" i="1"/>
  <c r="AO1946" i="1"/>
  <c r="N1946" i="1"/>
  <c r="G1946" i="1"/>
  <c r="A1946" i="1"/>
  <c r="AO1945" i="1"/>
  <c r="N1945" i="1"/>
  <c r="G1945" i="1"/>
  <c r="A1945" i="1"/>
  <c r="AO1944" i="1"/>
  <c r="N1944" i="1"/>
  <c r="G1944" i="1"/>
  <c r="A1944" i="1"/>
  <c r="AO1943" i="1"/>
  <c r="N1943" i="1"/>
  <c r="G1943" i="1"/>
  <c r="A1943" i="1"/>
  <c r="AO1942" i="1"/>
  <c r="N1942" i="1"/>
  <c r="G1942" i="1"/>
  <c r="A1942" i="1"/>
  <c r="AO1941" i="1"/>
  <c r="N1941" i="1"/>
  <c r="G1941" i="1"/>
  <c r="A1941" i="1"/>
  <c r="AO1940" i="1"/>
  <c r="N1940" i="1"/>
  <c r="G1940" i="1"/>
  <c r="A1940" i="1"/>
  <c r="AO1939" i="1"/>
  <c r="N1939" i="1"/>
  <c r="G1939" i="1"/>
  <c r="A1939" i="1"/>
  <c r="AO1938" i="1"/>
  <c r="N1938" i="1"/>
  <c r="G1938" i="1"/>
  <c r="A1938" i="1"/>
  <c r="AO1937" i="1"/>
  <c r="N1937" i="1"/>
  <c r="G1937" i="1"/>
  <c r="A1937" i="1"/>
  <c r="AO1936" i="1"/>
  <c r="N1936" i="1"/>
  <c r="G1936" i="1"/>
  <c r="A1936" i="1"/>
  <c r="AO1935" i="1"/>
  <c r="N1935" i="1"/>
  <c r="G1935" i="1"/>
  <c r="A1935" i="1"/>
  <c r="AO1934" i="1"/>
  <c r="N1934" i="1"/>
  <c r="G1934" i="1"/>
  <c r="A1934" i="1"/>
  <c r="AO1933" i="1"/>
  <c r="N1933" i="1"/>
  <c r="G1933" i="1"/>
  <c r="A1933" i="1"/>
  <c r="AO1932" i="1"/>
  <c r="N1932" i="1"/>
  <c r="G1932" i="1"/>
  <c r="A1932" i="1"/>
  <c r="AO1931" i="1"/>
  <c r="N1931" i="1"/>
  <c r="G1931" i="1"/>
  <c r="A1931" i="1"/>
  <c r="AO1930" i="1"/>
  <c r="N1930" i="1"/>
  <c r="G1930" i="1"/>
  <c r="A1930" i="1"/>
  <c r="AO1929" i="1"/>
  <c r="N1929" i="1"/>
  <c r="G1929" i="1"/>
  <c r="A1929" i="1"/>
  <c r="AO1928" i="1"/>
  <c r="N1928" i="1"/>
  <c r="G1928" i="1"/>
  <c r="A1928" i="1"/>
  <c r="AO1927" i="1"/>
  <c r="N1927" i="1"/>
  <c r="G1927" i="1"/>
  <c r="A1927" i="1"/>
  <c r="AO1926" i="1"/>
  <c r="N1926" i="1"/>
  <c r="G1926" i="1"/>
  <c r="A1926" i="1"/>
  <c r="AO1925" i="1"/>
  <c r="N1925" i="1"/>
  <c r="G1925" i="1"/>
  <c r="A1925" i="1"/>
  <c r="AO1924" i="1"/>
  <c r="N1924" i="1"/>
  <c r="G1924" i="1"/>
  <c r="A1924" i="1"/>
  <c r="AO1923" i="1"/>
  <c r="N1923" i="1"/>
  <c r="G1923" i="1"/>
  <c r="A1923" i="1"/>
  <c r="AO1922" i="1"/>
  <c r="N1922" i="1"/>
  <c r="G1922" i="1"/>
  <c r="A1922" i="1"/>
  <c r="AO1921" i="1"/>
  <c r="N1921" i="1"/>
  <c r="G1921" i="1"/>
  <c r="A1921" i="1"/>
  <c r="AO1920" i="1"/>
  <c r="N1920" i="1"/>
  <c r="G1920" i="1"/>
  <c r="A1920" i="1"/>
  <c r="AO1919" i="1"/>
  <c r="N1919" i="1"/>
  <c r="G1919" i="1"/>
  <c r="A1919" i="1"/>
  <c r="AO1918" i="1"/>
  <c r="N1918" i="1"/>
  <c r="G1918" i="1"/>
  <c r="A1918" i="1"/>
  <c r="AO1917" i="1"/>
  <c r="N1917" i="1"/>
  <c r="G1917" i="1"/>
  <c r="A1917" i="1"/>
  <c r="AO1916" i="1"/>
  <c r="N1916" i="1"/>
  <c r="G1916" i="1"/>
  <c r="A1916" i="1"/>
  <c r="AO1915" i="1"/>
  <c r="N1915" i="1"/>
  <c r="G1915" i="1"/>
  <c r="A1915" i="1"/>
  <c r="AO1914" i="1"/>
  <c r="N1914" i="1"/>
  <c r="G1914" i="1"/>
  <c r="A1914" i="1"/>
  <c r="AO1913" i="1"/>
  <c r="N1913" i="1"/>
  <c r="G1913" i="1"/>
  <c r="A1913" i="1"/>
  <c r="AO1912" i="1"/>
  <c r="N1912" i="1"/>
  <c r="G1912" i="1"/>
  <c r="A1912" i="1"/>
  <c r="AO1911" i="1"/>
  <c r="N1911" i="1"/>
  <c r="G1911" i="1"/>
  <c r="A1911" i="1"/>
  <c r="AO1910" i="1"/>
  <c r="N1910" i="1"/>
  <c r="G1910" i="1"/>
  <c r="A1910" i="1"/>
  <c r="AO1909" i="1"/>
  <c r="N1909" i="1"/>
  <c r="G1909" i="1"/>
  <c r="A1909" i="1"/>
  <c r="AO1908" i="1"/>
  <c r="N1908" i="1"/>
  <c r="G1908" i="1"/>
  <c r="A1908" i="1"/>
  <c r="AO1907" i="1"/>
  <c r="N1907" i="1"/>
  <c r="G1907" i="1"/>
  <c r="A1907" i="1"/>
  <c r="AO1906" i="1"/>
  <c r="N1906" i="1"/>
  <c r="G1906" i="1"/>
  <c r="A1906" i="1"/>
  <c r="AO1905" i="1"/>
  <c r="N1905" i="1"/>
  <c r="G1905" i="1"/>
  <c r="A1905" i="1"/>
  <c r="AO1904" i="1"/>
  <c r="N1904" i="1"/>
  <c r="G1904" i="1"/>
  <c r="A1904" i="1"/>
  <c r="AO1903" i="1"/>
  <c r="N1903" i="1"/>
  <c r="G1903" i="1"/>
  <c r="A1903" i="1"/>
  <c r="AO1902" i="1"/>
  <c r="N1902" i="1"/>
  <c r="G1902" i="1"/>
  <c r="A1902" i="1"/>
  <c r="AO1901" i="1"/>
  <c r="N1901" i="1"/>
  <c r="G1901" i="1"/>
  <c r="A1901" i="1"/>
  <c r="AO1900" i="1"/>
  <c r="N1900" i="1"/>
  <c r="G1900" i="1"/>
  <c r="A1900" i="1"/>
  <c r="AO1899" i="1"/>
  <c r="N1899" i="1"/>
  <c r="G1899" i="1"/>
  <c r="A1899" i="1"/>
  <c r="AO1898" i="1"/>
  <c r="N1898" i="1"/>
  <c r="G1898" i="1"/>
  <c r="A1898" i="1"/>
  <c r="AO1897" i="1"/>
  <c r="N1897" i="1"/>
  <c r="G1897" i="1"/>
  <c r="A1897" i="1"/>
  <c r="AO1896" i="1"/>
  <c r="N1896" i="1"/>
  <c r="G1896" i="1"/>
  <c r="A1896" i="1"/>
  <c r="AO1895" i="1"/>
  <c r="N1895" i="1"/>
  <c r="G1895" i="1"/>
  <c r="A1895" i="1"/>
  <c r="AO1894" i="1"/>
  <c r="N1894" i="1"/>
  <c r="G1894" i="1"/>
  <c r="A1894" i="1"/>
  <c r="AO1893" i="1"/>
  <c r="N1893" i="1"/>
  <c r="G1893" i="1"/>
  <c r="A1893" i="1"/>
  <c r="AO1892" i="1"/>
  <c r="N1892" i="1"/>
  <c r="G1892" i="1"/>
  <c r="A1892" i="1"/>
  <c r="AO1891" i="1"/>
  <c r="N1891" i="1"/>
  <c r="G1891" i="1"/>
  <c r="A1891" i="1"/>
  <c r="AO1890" i="1"/>
  <c r="N1890" i="1"/>
  <c r="G1890" i="1"/>
  <c r="A1890" i="1"/>
  <c r="AO1889" i="1"/>
  <c r="N1889" i="1"/>
  <c r="G1889" i="1"/>
  <c r="A1889" i="1"/>
  <c r="AO1888" i="1"/>
  <c r="N1888" i="1"/>
  <c r="G1888" i="1"/>
  <c r="A1888" i="1"/>
  <c r="AO1887" i="1"/>
  <c r="N1887" i="1"/>
  <c r="G1887" i="1"/>
  <c r="A1887" i="1"/>
  <c r="AO1886" i="1"/>
  <c r="N1886" i="1"/>
  <c r="G1886" i="1"/>
  <c r="A1886" i="1"/>
  <c r="AO1885" i="1"/>
  <c r="N1885" i="1"/>
  <c r="G1885" i="1"/>
  <c r="A1885" i="1"/>
  <c r="AO1884" i="1"/>
  <c r="N1884" i="1"/>
  <c r="G1884" i="1"/>
  <c r="A1884" i="1"/>
  <c r="AO1883" i="1"/>
  <c r="N1883" i="1"/>
  <c r="G1883" i="1"/>
  <c r="A1883" i="1"/>
  <c r="AO1882" i="1"/>
  <c r="N1882" i="1"/>
  <c r="G1882" i="1"/>
  <c r="A1882" i="1"/>
  <c r="AO1881" i="1"/>
  <c r="N1881" i="1"/>
  <c r="G1881" i="1"/>
  <c r="A1881" i="1"/>
  <c r="AO1880" i="1"/>
  <c r="N1880" i="1"/>
  <c r="G1880" i="1"/>
  <c r="A1880" i="1"/>
  <c r="AO1879" i="1"/>
  <c r="N1879" i="1"/>
  <c r="G1879" i="1"/>
  <c r="A1879" i="1"/>
  <c r="AO1878" i="1"/>
  <c r="N1878" i="1"/>
  <c r="G1878" i="1"/>
  <c r="A1878" i="1"/>
  <c r="AO1877" i="1"/>
  <c r="N1877" i="1"/>
  <c r="G1877" i="1"/>
  <c r="A1877" i="1"/>
  <c r="AO1876" i="1"/>
  <c r="N1876" i="1"/>
  <c r="G1876" i="1"/>
  <c r="A1876" i="1"/>
  <c r="AO1875" i="1"/>
  <c r="N1875" i="1"/>
  <c r="G1875" i="1"/>
  <c r="A1875" i="1"/>
  <c r="AO1874" i="1"/>
  <c r="N1874" i="1"/>
  <c r="G1874" i="1"/>
  <c r="A1874" i="1"/>
  <c r="AO1873" i="1"/>
  <c r="N1873" i="1"/>
  <c r="G1873" i="1"/>
  <c r="A1873" i="1"/>
  <c r="AO1872" i="1"/>
  <c r="N1872" i="1"/>
  <c r="G1872" i="1"/>
  <c r="A1872" i="1"/>
  <c r="AO1871" i="1"/>
  <c r="N1871" i="1"/>
  <c r="G1871" i="1"/>
  <c r="A1871" i="1"/>
  <c r="AO1870" i="1"/>
  <c r="N1870" i="1"/>
  <c r="G1870" i="1"/>
  <c r="A1870" i="1"/>
  <c r="AO1869" i="1"/>
  <c r="N1869" i="1"/>
  <c r="G1869" i="1"/>
  <c r="A1869" i="1"/>
  <c r="AO1868" i="1"/>
  <c r="N1868" i="1"/>
  <c r="G1868" i="1"/>
  <c r="A1868" i="1"/>
  <c r="AO1867" i="1"/>
  <c r="N1867" i="1"/>
  <c r="G1867" i="1"/>
  <c r="A1867" i="1"/>
  <c r="AO1866" i="1"/>
  <c r="N1866" i="1"/>
  <c r="G1866" i="1"/>
  <c r="A1866" i="1"/>
  <c r="AO1865" i="1"/>
  <c r="N1865" i="1"/>
  <c r="G1865" i="1"/>
  <c r="A1865" i="1"/>
  <c r="AO1864" i="1"/>
  <c r="N1864" i="1"/>
  <c r="G1864" i="1"/>
  <c r="A1864" i="1"/>
  <c r="AO1863" i="1"/>
  <c r="N1863" i="1"/>
  <c r="G1863" i="1"/>
  <c r="A1863" i="1"/>
  <c r="AO1862" i="1"/>
  <c r="N1862" i="1"/>
  <c r="G1862" i="1"/>
  <c r="A1862" i="1"/>
  <c r="AO1861" i="1"/>
  <c r="N1861" i="1"/>
  <c r="G1861" i="1"/>
  <c r="A1861" i="1"/>
  <c r="AO1860" i="1"/>
  <c r="N1860" i="1"/>
  <c r="G1860" i="1"/>
  <c r="A1860" i="1"/>
  <c r="AO1859" i="1"/>
  <c r="N1859" i="1"/>
  <c r="G1859" i="1"/>
  <c r="A1859" i="1"/>
  <c r="AO1858" i="1"/>
  <c r="N1858" i="1"/>
  <c r="G1858" i="1"/>
  <c r="A1858" i="1"/>
  <c r="AO1857" i="1"/>
  <c r="N1857" i="1"/>
  <c r="G1857" i="1"/>
  <c r="A1857" i="1"/>
  <c r="AO1856" i="1"/>
  <c r="N1856" i="1"/>
  <c r="G1856" i="1"/>
  <c r="A1856" i="1"/>
  <c r="AO1855" i="1"/>
  <c r="N1855" i="1"/>
  <c r="G1855" i="1"/>
  <c r="A1855" i="1"/>
  <c r="AO1854" i="1"/>
  <c r="N1854" i="1"/>
  <c r="G1854" i="1"/>
  <c r="A1854" i="1"/>
  <c r="AO1853" i="1"/>
  <c r="N1853" i="1"/>
  <c r="G1853" i="1"/>
  <c r="A1853" i="1"/>
  <c r="AO1852" i="1"/>
  <c r="N1852" i="1"/>
  <c r="G1852" i="1"/>
  <c r="A1852" i="1"/>
  <c r="AO1851" i="1"/>
  <c r="N1851" i="1"/>
  <c r="G1851" i="1"/>
  <c r="A1851" i="1"/>
  <c r="AO1850" i="1"/>
  <c r="N1850" i="1"/>
  <c r="G1850" i="1"/>
  <c r="A1850" i="1"/>
  <c r="AO1849" i="1"/>
  <c r="N1849" i="1"/>
  <c r="G1849" i="1"/>
  <c r="A1849" i="1"/>
  <c r="AO1848" i="1"/>
  <c r="N1848" i="1"/>
  <c r="G1848" i="1"/>
  <c r="A1848" i="1"/>
  <c r="AO1847" i="1"/>
  <c r="N1847" i="1"/>
  <c r="G1847" i="1"/>
  <c r="A1847" i="1"/>
  <c r="AO1846" i="1"/>
  <c r="N1846" i="1"/>
  <c r="G1846" i="1"/>
  <c r="A1846" i="1"/>
  <c r="AO1845" i="1"/>
  <c r="N1845" i="1"/>
  <c r="G1845" i="1"/>
  <c r="A1845" i="1"/>
  <c r="AO1844" i="1"/>
  <c r="N1844" i="1"/>
  <c r="G1844" i="1"/>
  <c r="A1844" i="1"/>
  <c r="AO1843" i="1"/>
  <c r="N1843" i="1"/>
  <c r="G1843" i="1"/>
  <c r="A1843" i="1"/>
  <c r="AO1842" i="1"/>
  <c r="N1842" i="1"/>
  <c r="G1842" i="1"/>
  <c r="A1842" i="1"/>
  <c r="AO1841" i="1"/>
  <c r="N1841" i="1"/>
  <c r="G1841" i="1"/>
  <c r="A1841" i="1"/>
  <c r="AO1840" i="1"/>
  <c r="N1840" i="1"/>
  <c r="G1840" i="1"/>
  <c r="A1840" i="1"/>
  <c r="AO1839" i="1"/>
  <c r="N1839" i="1"/>
  <c r="G1839" i="1"/>
  <c r="A1839" i="1"/>
  <c r="AO1838" i="1"/>
  <c r="N1838" i="1"/>
  <c r="G1838" i="1"/>
  <c r="A1838" i="1"/>
  <c r="AO1837" i="1"/>
  <c r="N1837" i="1"/>
  <c r="G1837" i="1"/>
  <c r="A1837" i="1"/>
  <c r="AO1836" i="1"/>
  <c r="N1836" i="1"/>
  <c r="G1836" i="1"/>
  <c r="A1836" i="1"/>
  <c r="AO1835" i="1"/>
  <c r="N1835" i="1"/>
  <c r="G1835" i="1"/>
  <c r="A1835" i="1"/>
  <c r="AO1834" i="1"/>
  <c r="N1834" i="1"/>
  <c r="G1834" i="1"/>
  <c r="A1834" i="1"/>
  <c r="AO1833" i="1"/>
  <c r="N1833" i="1"/>
  <c r="G1833" i="1"/>
  <c r="A1833" i="1"/>
  <c r="AO1832" i="1"/>
  <c r="N1832" i="1"/>
  <c r="G1832" i="1"/>
  <c r="A1832" i="1"/>
  <c r="AO1831" i="1"/>
  <c r="N1831" i="1"/>
  <c r="G1831" i="1"/>
  <c r="A1831" i="1"/>
  <c r="AO1830" i="1"/>
  <c r="N1830" i="1"/>
  <c r="G1830" i="1"/>
  <c r="A1830" i="1"/>
  <c r="AO1829" i="1"/>
  <c r="N1829" i="1"/>
  <c r="G1829" i="1"/>
  <c r="A1829" i="1"/>
  <c r="AO1828" i="1"/>
  <c r="N1828" i="1"/>
  <c r="G1828" i="1"/>
  <c r="A1828" i="1"/>
  <c r="AO1827" i="1"/>
  <c r="N1827" i="1"/>
  <c r="G1827" i="1"/>
  <c r="A1827" i="1"/>
  <c r="AO1826" i="1"/>
  <c r="N1826" i="1"/>
  <c r="G1826" i="1"/>
  <c r="A1826" i="1"/>
  <c r="AO1825" i="1"/>
  <c r="N1825" i="1"/>
  <c r="G1825" i="1"/>
  <c r="A1825" i="1"/>
  <c r="AO1824" i="1"/>
  <c r="N1824" i="1"/>
  <c r="G1824" i="1"/>
  <c r="A1824" i="1"/>
  <c r="AO1823" i="1"/>
  <c r="N1823" i="1"/>
  <c r="G1823" i="1"/>
  <c r="A1823" i="1"/>
  <c r="AO1822" i="1"/>
  <c r="N1822" i="1"/>
  <c r="G1822" i="1"/>
  <c r="A1822" i="1"/>
  <c r="AO1821" i="1"/>
  <c r="N1821" i="1"/>
  <c r="G1821" i="1"/>
  <c r="A1821" i="1"/>
  <c r="AO1820" i="1"/>
  <c r="N1820" i="1"/>
  <c r="G1820" i="1"/>
  <c r="A1820" i="1"/>
  <c r="AO1819" i="1"/>
  <c r="N1819" i="1"/>
  <c r="G1819" i="1"/>
  <c r="A1819" i="1"/>
  <c r="AO1818" i="1"/>
  <c r="N1818" i="1"/>
  <c r="G1818" i="1"/>
  <c r="A1818" i="1"/>
  <c r="AO1817" i="1"/>
  <c r="N1817" i="1"/>
  <c r="G1817" i="1"/>
  <c r="A1817" i="1"/>
  <c r="AO1816" i="1"/>
  <c r="N1816" i="1"/>
  <c r="G1816" i="1"/>
  <c r="A1816" i="1"/>
  <c r="AO1815" i="1"/>
  <c r="N1815" i="1"/>
  <c r="G1815" i="1"/>
  <c r="A1815" i="1"/>
  <c r="AO1814" i="1"/>
  <c r="N1814" i="1"/>
  <c r="G1814" i="1"/>
  <c r="A1814" i="1"/>
  <c r="AO1813" i="1"/>
  <c r="N1813" i="1"/>
  <c r="G1813" i="1"/>
  <c r="A1813" i="1"/>
  <c r="AO1812" i="1"/>
  <c r="N1812" i="1"/>
  <c r="G1812" i="1"/>
  <c r="A1812" i="1"/>
  <c r="AO1811" i="1"/>
  <c r="N1811" i="1"/>
  <c r="G1811" i="1"/>
  <c r="A1811" i="1"/>
  <c r="AO1810" i="1"/>
  <c r="N1810" i="1"/>
  <c r="G1810" i="1"/>
  <c r="A1810" i="1"/>
  <c r="AO1809" i="1"/>
  <c r="N1809" i="1"/>
  <c r="G1809" i="1"/>
  <c r="A1809" i="1"/>
  <c r="AO1808" i="1"/>
  <c r="N1808" i="1"/>
  <c r="G1808" i="1"/>
  <c r="A1808" i="1"/>
  <c r="AO1807" i="1"/>
  <c r="N1807" i="1"/>
  <c r="G1807" i="1"/>
  <c r="A1807" i="1"/>
  <c r="AO1806" i="1"/>
  <c r="N1806" i="1"/>
  <c r="G1806" i="1"/>
  <c r="A1806" i="1"/>
  <c r="AO1805" i="1"/>
  <c r="N1805" i="1"/>
  <c r="G1805" i="1"/>
  <c r="A1805" i="1"/>
  <c r="AO1804" i="1"/>
  <c r="N1804" i="1"/>
  <c r="G1804" i="1"/>
  <c r="A1804" i="1"/>
  <c r="AO1803" i="1"/>
  <c r="N1803" i="1"/>
  <c r="G1803" i="1"/>
  <c r="A1803" i="1"/>
  <c r="AO1802" i="1"/>
  <c r="N1802" i="1"/>
  <c r="G1802" i="1"/>
  <c r="A1802" i="1"/>
  <c r="AO1801" i="1"/>
  <c r="N1801" i="1"/>
  <c r="G1801" i="1"/>
  <c r="A1801" i="1"/>
  <c r="AO1800" i="1"/>
  <c r="N1800" i="1"/>
  <c r="G1800" i="1"/>
  <c r="A1800" i="1"/>
  <c r="AO1799" i="1"/>
  <c r="N1799" i="1"/>
  <c r="G1799" i="1"/>
  <c r="A1799" i="1"/>
  <c r="AO1798" i="1"/>
  <c r="N1798" i="1"/>
  <c r="G1798" i="1"/>
  <c r="A1798" i="1"/>
  <c r="AO1797" i="1"/>
  <c r="N1797" i="1"/>
  <c r="G1797" i="1"/>
  <c r="A1797" i="1"/>
  <c r="AO1796" i="1"/>
  <c r="N1796" i="1"/>
  <c r="G1796" i="1"/>
  <c r="A1796" i="1"/>
  <c r="AO1795" i="1"/>
  <c r="N1795" i="1"/>
  <c r="G1795" i="1"/>
  <c r="A1795" i="1"/>
  <c r="AO1794" i="1"/>
  <c r="N1794" i="1"/>
  <c r="G1794" i="1"/>
  <c r="A1794" i="1"/>
  <c r="AO1793" i="1"/>
  <c r="N1793" i="1"/>
  <c r="G1793" i="1"/>
  <c r="A1793" i="1"/>
  <c r="AO1792" i="1"/>
  <c r="N1792" i="1"/>
  <c r="G1792" i="1"/>
  <c r="A1792" i="1"/>
  <c r="AO1791" i="1"/>
  <c r="N1791" i="1"/>
  <c r="G1791" i="1"/>
  <c r="A1791" i="1"/>
  <c r="AO1790" i="1"/>
  <c r="N1790" i="1"/>
  <c r="G1790" i="1"/>
  <c r="A1790" i="1"/>
  <c r="AO1789" i="1"/>
  <c r="N1789" i="1"/>
  <c r="G1789" i="1"/>
  <c r="A1789" i="1"/>
  <c r="AO1788" i="1"/>
  <c r="N1788" i="1"/>
  <c r="G1788" i="1"/>
  <c r="A1788" i="1"/>
  <c r="AO1787" i="1"/>
  <c r="N1787" i="1"/>
  <c r="G1787" i="1"/>
  <c r="A1787" i="1"/>
  <c r="AO1786" i="1"/>
  <c r="N1786" i="1"/>
  <c r="G1786" i="1"/>
  <c r="A1786" i="1"/>
  <c r="AO1785" i="1"/>
  <c r="N1785" i="1"/>
  <c r="G1785" i="1"/>
  <c r="A1785" i="1"/>
  <c r="AO1784" i="1"/>
  <c r="N1784" i="1"/>
  <c r="G1784" i="1"/>
  <c r="A1784" i="1"/>
  <c r="AO1783" i="1"/>
  <c r="N1783" i="1"/>
  <c r="G1783" i="1"/>
  <c r="A1783" i="1"/>
  <c r="AO1782" i="1"/>
  <c r="N1782" i="1"/>
  <c r="G1782" i="1"/>
  <c r="A1782" i="1"/>
  <c r="AO1781" i="1"/>
  <c r="N1781" i="1"/>
  <c r="G1781" i="1"/>
  <c r="A1781" i="1"/>
  <c r="AO1780" i="1"/>
  <c r="N1780" i="1"/>
  <c r="G1780" i="1"/>
  <c r="A1780" i="1"/>
  <c r="AO1779" i="1"/>
  <c r="N1779" i="1"/>
  <c r="G1779" i="1"/>
  <c r="A1779" i="1"/>
  <c r="AO1778" i="1"/>
  <c r="N1778" i="1"/>
  <c r="G1778" i="1"/>
  <c r="A1778" i="1"/>
  <c r="AO1777" i="1"/>
  <c r="N1777" i="1"/>
  <c r="G1777" i="1"/>
  <c r="A1777" i="1"/>
  <c r="AO1776" i="1"/>
  <c r="N1776" i="1"/>
  <c r="G1776" i="1"/>
  <c r="A1776" i="1"/>
  <c r="AO1775" i="1"/>
  <c r="N1775" i="1"/>
  <c r="G1775" i="1"/>
  <c r="A1775" i="1"/>
  <c r="AO1774" i="1"/>
  <c r="N1774" i="1"/>
  <c r="G1774" i="1"/>
  <c r="A1774" i="1"/>
  <c r="AO1773" i="1"/>
  <c r="N1773" i="1"/>
  <c r="G1773" i="1"/>
  <c r="A1773" i="1"/>
  <c r="AO1772" i="1"/>
  <c r="N1772" i="1"/>
  <c r="G1772" i="1"/>
  <c r="A1772" i="1"/>
  <c r="AO1771" i="1"/>
  <c r="N1771" i="1"/>
  <c r="G1771" i="1"/>
  <c r="A1771" i="1"/>
  <c r="AO1770" i="1"/>
  <c r="N1770" i="1"/>
  <c r="G1770" i="1"/>
  <c r="A1770" i="1"/>
  <c r="AO1769" i="1"/>
  <c r="N1769" i="1"/>
  <c r="G1769" i="1"/>
  <c r="A1769" i="1"/>
  <c r="AO1768" i="1"/>
  <c r="N1768" i="1"/>
  <c r="G1768" i="1"/>
  <c r="A1768" i="1"/>
  <c r="AO1767" i="1"/>
  <c r="N1767" i="1"/>
  <c r="G1767" i="1"/>
  <c r="A1767" i="1"/>
  <c r="AO1766" i="1"/>
  <c r="N1766" i="1"/>
  <c r="G1766" i="1"/>
  <c r="A1766" i="1"/>
  <c r="AO1765" i="1"/>
  <c r="N1765" i="1"/>
  <c r="G1765" i="1"/>
  <c r="A1765" i="1"/>
  <c r="AO1764" i="1"/>
  <c r="N1764" i="1"/>
  <c r="G1764" i="1"/>
  <c r="A1764" i="1"/>
  <c r="AO1763" i="1"/>
  <c r="N1763" i="1"/>
  <c r="G1763" i="1"/>
  <c r="A1763" i="1"/>
  <c r="AO1762" i="1"/>
  <c r="N1762" i="1"/>
  <c r="G1762" i="1"/>
  <c r="A1762" i="1"/>
  <c r="AO1761" i="1"/>
  <c r="N1761" i="1"/>
  <c r="G1761" i="1"/>
  <c r="A1761" i="1"/>
  <c r="AO1760" i="1"/>
  <c r="N1760" i="1"/>
  <c r="G1760" i="1"/>
  <c r="A1760" i="1"/>
  <c r="AO1759" i="1"/>
  <c r="N1759" i="1"/>
  <c r="G1759" i="1"/>
  <c r="A1759" i="1"/>
  <c r="AO1758" i="1"/>
  <c r="N1758" i="1"/>
  <c r="G1758" i="1"/>
  <c r="A1758" i="1"/>
  <c r="AO1757" i="1"/>
  <c r="N1757" i="1"/>
  <c r="G1757" i="1"/>
  <c r="A1757" i="1"/>
  <c r="AO1756" i="1"/>
  <c r="N1756" i="1"/>
  <c r="G1756" i="1"/>
  <c r="A1756" i="1"/>
  <c r="AO1755" i="1"/>
  <c r="N1755" i="1"/>
  <c r="G1755" i="1"/>
  <c r="A1755" i="1"/>
  <c r="AO1754" i="1"/>
  <c r="N1754" i="1"/>
  <c r="G1754" i="1"/>
  <c r="A1754" i="1"/>
  <c r="AO1753" i="1"/>
  <c r="N1753" i="1"/>
  <c r="G1753" i="1"/>
  <c r="A1753" i="1"/>
  <c r="AO1752" i="1"/>
  <c r="N1752" i="1"/>
  <c r="G1752" i="1"/>
  <c r="A1752" i="1"/>
  <c r="AO1751" i="1"/>
  <c r="N1751" i="1"/>
  <c r="G1751" i="1"/>
  <c r="A1751" i="1"/>
  <c r="AO1750" i="1"/>
  <c r="N1750" i="1"/>
  <c r="G1750" i="1"/>
  <c r="A1750" i="1"/>
  <c r="AO1749" i="1"/>
  <c r="N1749" i="1"/>
  <c r="G1749" i="1"/>
  <c r="A1749" i="1"/>
  <c r="AO1748" i="1"/>
  <c r="N1748" i="1"/>
  <c r="G1748" i="1"/>
  <c r="A1748" i="1"/>
  <c r="AO1747" i="1"/>
  <c r="N1747" i="1"/>
  <c r="G1747" i="1"/>
  <c r="A1747" i="1"/>
  <c r="AO1746" i="1"/>
  <c r="N1746" i="1"/>
  <c r="G1746" i="1"/>
  <c r="A1746" i="1"/>
  <c r="AO1745" i="1"/>
  <c r="N1745" i="1"/>
  <c r="G1745" i="1"/>
  <c r="A1745" i="1"/>
  <c r="AO1744" i="1"/>
  <c r="N1744" i="1"/>
  <c r="G1744" i="1"/>
  <c r="A1744" i="1"/>
  <c r="AO1743" i="1"/>
  <c r="N1743" i="1"/>
  <c r="G1743" i="1"/>
  <c r="A1743" i="1"/>
  <c r="AO1742" i="1"/>
  <c r="N1742" i="1"/>
  <c r="G1742" i="1"/>
  <c r="A1742" i="1"/>
  <c r="AO1741" i="1"/>
  <c r="N1741" i="1"/>
  <c r="G1741" i="1"/>
  <c r="A1741" i="1"/>
  <c r="AO1740" i="1"/>
  <c r="N1740" i="1"/>
  <c r="G1740" i="1"/>
  <c r="A1740" i="1"/>
  <c r="AO1739" i="1"/>
  <c r="N1739" i="1"/>
  <c r="G1739" i="1"/>
  <c r="A1739" i="1"/>
  <c r="AO1738" i="1"/>
  <c r="N1738" i="1"/>
  <c r="G1738" i="1"/>
  <c r="A1738" i="1"/>
  <c r="AO1737" i="1"/>
  <c r="N1737" i="1"/>
  <c r="G1737" i="1"/>
  <c r="A1737" i="1"/>
  <c r="AO1736" i="1"/>
  <c r="N1736" i="1"/>
  <c r="G1736" i="1"/>
  <c r="A1736" i="1"/>
  <c r="AO1735" i="1"/>
  <c r="N1735" i="1"/>
  <c r="G1735" i="1"/>
  <c r="A1735" i="1"/>
  <c r="AO1734" i="1"/>
  <c r="N1734" i="1"/>
  <c r="G1734" i="1"/>
  <c r="A1734" i="1"/>
  <c r="AO1733" i="1"/>
  <c r="N1733" i="1"/>
  <c r="G1733" i="1"/>
  <c r="A1733" i="1"/>
  <c r="AO1732" i="1"/>
  <c r="N1732" i="1"/>
  <c r="G1732" i="1"/>
  <c r="A1732" i="1"/>
  <c r="AO1731" i="1"/>
  <c r="N1731" i="1"/>
  <c r="G1731" i="1"/>
  <c r="A1731" i="1"/>
  <c r="AO1730" i="1"/>
  <c r="N1730" i="1"/>
  <c r="G1730" i="1"/>
  <c r="A1730" i="1"/>
  <c r="AO1729" i="1"/>
  <c r="N1729" i="1"/>
  <c r="G1729" i="1"/>
  <c r="A1729" i="1"/>
  <c r="AO1728" i="1"/>
  <c r="N1728" i="1"/>
  <c r="G1728" i="1"/>
  <c r="A1728" i="1"/>
  <c r="AO1727" i="1"/>
  <c r="N1727" i="1"/>
  <c r="G1727" i="1"/>
  <c r="A1727" i="1"/>
  <c r="AO1726" i="1"/>
  <c r="N1726" i="1"/>
  <c r="G1726" i="1"/>
  <c r="A1726" i="1"/>
  <c r="AO1725" i="1"/>
  <c r="N1725" i="1"/>
  <c r="G1725" i="1"/>
  <c r="A1725" i="1"/>
  <c r="AO1724" i="1"/>
  <c r="N1724" i="1"/>
  <c r="G1724" i="1"/>
  <c r="A1724" i="1"/>
  <c r="AO1723" i="1"/>
  <c r="N1723" i="1"/>
  <c r="G1723" i="1"/>
  <c r="A1723" i="1"/>
  <c r="AO1722" i="1"/>
  <c r="N1722" i="1"/>
  <c r="G1722" i="1"/>
  <c r="A1722" i="1"/>
  <c r="AO1721" i="1"/>
  <c r="N1721" i="1"/>
  <c r="G1721" i="1"/>
  <c r="A1721" i="1"/>
  <c r="AO1720" i="1"/>
  <c r="N1720" i="1"/>
  <c r="G1720" i="1"/>
  <c r="A1720" i="1"/>
  <c r="AO1719" i="1"/>
  <c r="N1719" i="1"/>
  <c r="G1719" i="1"/>
  <c r="A1719" i="1"/>
  <c r="AO1718" i="1"/>
  <c r="N1718" i="1"/>
  <c r="G1718" i="1"/>
  <c r="A1718" i="1"/>
  <c r="AO1717" i="1"/>
  <c r="N1717" i="1"/>
  <c r="G1717" i="1"/>
  <c r="A1717" i="1"/>
  <c r="AO1716" i="1"/>
  <c r="N1716" i="1"/>
  <c r="G1716" i="1"/>
  <c r="A1716" i="1"/>
  <c r="AO1715" i="1"/>
  <c r="N1715" i="1"/>
  <c r="G1715" i="1"/>
  <c r="A1715" i="1"/>
  <c r="AO1714" i="1"/>
  <c r="N1714" i="1"/>
  <c r="G1714" i="1"/>
  <c r="A1714" i="1"/>
  <c r="AO1713" i="1"/>
  <c r="N1713" i="1"/>
  <c r="G1713" i="1"/>
  <c r="A1713" i="1"/>
  <c r="AO1712" i="1"/>
  <c r="N1712" i="1"/>
  <c r="G1712" i="1"/>
  <c r="A1712" i="1"/>
  <c r="AO1711" i="1"/>
  <c r="N1711" i="1"/>
  <c r="G1711" i="1"/>
  <c r="A1711" i="1"/>
  <c r="AO1710" i="1"/>
  <c r="N1710" i="1"/>
  <c r="G1710" i="1"/>
  <c r="A1710" i="1"/>
  <c r="AO1709" i="1"/>
  <c r="N1709" i="1"/>
  <c r="G1709" i="1"/>
  <c r="A1709" i="1"/>
  <c r="AO1708" i="1"/>
  <c r="N1708" i="1"/>
  <c r="G1708" i="1"/>
  <c r="A1708" i="1"/>
  <c r="AO1707" i="1"/>
  <c r="N1707" i="1"/>
  <c r="G1707" i="1"/>
  <c r="A1707" i="1"/>
  <c r="AO1706" i="1"/>
  <c r="N1706" i="1"/>
  <c r="G1706" i="1"/>
  <c r="A1706" i="1"/>
  <c r="AO1705" i="1"/>
  <c r="N1705" i="1"/>
  <c r="G1705" i="1"/>
  <c r="A1705" i="1"/>
  <c r="AO1704" i="1"/>
  <c r="N1704" i="1"/>
  <c r="G1704" i="1"/>
  <c r="A1704" i="1"/>
  <c r="AO1703" i="1"/>
  <c r="N1703" i="1"/>
  <c r="G1703" i="1"/>
  <c r="A1703" i="1"/>
  <c r="AO1702" i="1"/>
  <c r="N1702" i="1"/>
  <c r="G1702" i="1"/>
  <c r="A1702" i="1"/>
  <c r="AO1701" i="1"/>
  <c r="N1701" i="1"/>
  <c r="G1701" i="1"/>
  <c r="A1701" i="1"/>
  <c r="AO1700" i="1"/>
  <c r="N1700" i="1"/>
  <c r="G1700" i="1"/>
  <c r="A1700" i="1"/>
  <c r="AO1699" i="1"/>
  <c r="N1699" i="1"/>
  <c r="G1699" i="1"/>
  <c r="A1699" i="1"/>
  <c r="AO1698" i="1"/>
  <c r="N1698" i="1"/>
  <c r="G1698" i="1"/>
  <c r="A1698" i="1"/>
  <c r="AO1697" i="1"/>
  <c r="N1697" i="1"/>
  <c r="G1697" i="1"/>
  <c r="A1697" i="1"/>
  <c r="AO1696" i="1"/>
  <c r="N1696" i="1"/>
  <c r="G1696" i="1"/>
  <c r="A1696" i="1"/>
  <c r="AO1695" i="1"/>
  <c r="N1695" i="1"/>
  <c r="G1695" i="1"/>
  <c r="A1695" i="1"/>
  <c r="AO1694" i="1"/>
  <c r="N1694" i="1"/>
  <c r="G1694" i="1"/>
  <c r="A1694" i="1"/>
  <c r="AO1693" i="1"/>
  <c r="N1693" i="1"/>
  <c r="G1693" i="1"/>
  <c r="A1693" i="1"/>
  <c r="AO1692" i="1"/>
  <c r="N1692" i="1"/>
  <c r="G1692" i="1"/>
  <c r="A1692" i="1"/>
  <c r="AO1691" i="1"/>
  <c r="N1691" i="1"/>
  <c r="G1691" i="1"/>
  <c r="A1691" i="1"/>
  <c r="AO1690" i="1"/>
  <c r="N1690" i="1"/>
  <c r="G1690" i="1"/>
  <c r="A1690" i="1"/>
  <c r="AO1689" i="1"/>
  <c r="N1689" i="1"/>
  <c r="G1689" i="1"/>
  <c r="A1689" i="1"/>
  <c r="AO1688" i="1"/>
  <c r="N1688" i="1"/>
  <c r="G1688" i="1"/>
  <c r="A1688" i="1"/>
  <c r="AO1687" i="1"/>
  <c r="N1687" i="1"/>
  <c r="G1687" i="1"/>
  <c r="A1687" i="1"/>
  <c r="AO1686" i="1"/>
  <c r="N1686" i="1"/>
  <c r="G1686" i="1"/>
  <c r="A1686" i="1"/>
  <c r="AO1685" i="1"/>
  <c r="N1685" i="1"/>
  <c r="G1685" i="1"/>
  <c r="A1685" i="1"/>
  <c r="AO1684" i="1"/>
  <c r="N1684" i="1"/>
  <c r="G1684" i="1"/>
  <c r="A1684" i="1"/>
  <c r="AO1683" i="1"/>
  <c r="N1683" i="1"/>
  <c r="G1683" i="1"/>
  <c r="A1683" i="1"/>
  <c r="AO1682" i="1"/>
  <c r="N1682" i="1"/>
  <c r="G1682" i="1"/>
  <c r="A1682" i="1"/>
  <c r="AO1681" i="1"/>
  <c r="N1681" i="1"/>
  <c r="G1681" i="1"/>
  <c r="A1681" i="1"/>
  <c r="AO1680" i="1"/>
  <c r="N1680" i="1"/>
  <c r="G1680" i="1"/>
  <c r="A1680" i="1"/>
  <c r="AO1679" i="1"/>
  <c r="N1679" i="1"/>
  <c r="G1679" i="1"/>
  <c r="A1679" i="1"/>
  <c r="AO1678" i="1"/>
  <c r="N1678" i="1"/>
  <c r="G1678" i="1"/>
  <c r="A1678" i="1"/>
  <c r="AO1677" i="1"/>
  <c r="N1677" i="1"/>
  <c r="G1677" i="1"/>
  <c r="A1677" i="1"/>
  <c r="AO1676" i="1"/>
  <c r="N1676" i="1"/>
  <c r="G1676" i="1"/>
  <c r="A1676" i="1"/>
  <c r="AO1675" i="1"/>
  <c r="N1675" i="1"/>
  <c r="G1675" i="1"/>
  <c r="A1675" i="1"/>
  <c r="AO1674" i="1"/>
  <c r="N1674" i="1"/>
  <c r="G1674" i="1"/>
  <c r="A1674" i="1"/>
  <c r="AO1673" i="1"/>
  <c r="N1673" i="1"/>
  <c r="G1673" i="1"/>
  <c r="A1673" i="1"/>
  <c r="AO1672" i="1"/>
  <c r="N1672" i="1"/>
  <c r="G1672" i="1"/>
  <c r="A1672" i="1"/>
  <c r="AO1671" i="1"/>
  <c r="N1671" i="1"/>
  <c r="G1671" i="1"/>
  <c r="A1671" i="1"/>
  <c r="AO1670" i="1"/>
  <c r="N1670" i="1"/>
  <c r="G1670" i="1"/>
  <c r="A1670" i="1"/>
  <c r="AO1669" i="1"/>
  <c r="N1669" i="1"/>
  <c r="G1669" i="1"/>
  <c r="A1669" i="1"/>
  <c r="AO1668" i="1"/>
  <c r="N1668" i="1"/>
  <c r="G1668" i="1"/>
  <c r="A1668" i="1"/>
  <c r="AO1667" i="1"/>
  <c r="N1667" i="1"/>
  <c r="G1667" i="1"/>
  <c r="A1667" i="1"/>
  <c r="AO1666" i="1"/>
  <c r="N1666" i="1"/>
  <c r="G1666" i="1"/>
  <c r="A1666" i="1"/>
  <c r="AO1665" i="1"/>
  <c r="N1665" i="1"/>
  <c r="G1665" i="1"/>
  <c r="A1665" i="1"/>
  <c r="AO1664" i="1"/>
  <c r="N1664" i="1"/>
  <c r="G1664" i="1"/>
  <c r="A1664" i="1"/>
  <c r="AO1663" i="1"/>
  <c r="N1663" i="1"/>
  <c r="G1663" i="1"/>
  <c r="A1663" i="1"/>
  <c r="AO1662" i="1"/>
  <c r="N1662" i="1"/>
  <c r="G1662" i="1"/>
  <c r="A1662" i="1"/>
  <c r="AO1661" i="1"/>
  <c r="N1661" i="1"/>
  <c r="G1661" i="1"/>
  <c r="A1661" i="1"/>
  <c r="AO1660" i="1"/>
  <c r="N1660" i="1"/>
  <c r="G1660" i="1"/>
  <c r="A1660" i="1"/>
  <c r="AO1659" i="1"/>
  <c r="N1659" i="1"/>
  <c r="G1659" i="1"/>
  <c r="A1659" i="1"/>
  <c r="AO1658" i="1"/>
  <c r="N1658" i="1"/>
  <c r="G1658" i="1"/>
  <c r="A1658" i="1"/>
  <c r="AO1657" i="1"/>
  <c r="N1657" i="1"/>
  <c r="G1657" i="1"/>
  <c r="A1657" i="1"/>
  <c r="AO1656" i="1"/>
  <c r="N1656" i="1"/>
  <c r="G1656" i="1"/>
  <c r="A1656" i="1"/>
  <c r="AO1655" i="1"/>
  <c r="N1655" i="1"/>
  <c r="G1655" i="1"/>
  <c r="A1655" i="1"/>
  <c r="AO1654" i="1"/>
  <c r="N1654" i="1"/>
  <c r="G1654" i="1"/>
  <c r="A1654" i="1"/>
  <c r="AO1653" i="1"/>
  <c r="N1653" i="1"/>
  <c r="G1653" i="1"/>
  <c r="A1653" i="1"/>
  <c r="AO1652" i="1"/>
  <c r="N1652" i="1"/>
  <c r="G1652" i="1"/>
  <c r="A1652" i="1"/>
  <c r="AO1651" i="1"/>
  <c r="N1651" i="1"/>
  <c r="G1651" i="1"/>
  <c r="A1651" i="1"/>
  <c r="AO1650" i="1"/>
  <c r="N1650" i="1"/>
  <c r="G1650" i="1"/>
  <c r="A1650" i="1"/>
  <c r="AO1649" i="1"/>
  <c r="N1649" i="1"/>
  <c r="G1649" i="1"/>
  <c r="A1649" i="1"/>
  <c r="AO1648" i="1"/>
  <c r="N1648" i="1"/>
  <c r="G1648" i="1"/>
  <c r="A1648" i="1"/>
  <c r="AO1647" i="1"/>
  <c r="N1647" i="1"/>
  <c r="G1647" i="1"/>
  <c r="A1647" i="1"/>
  <c r="AO1646" i="1"/>
  <c r="N1646" i="1"/>
  <c r="G1646" i="1"/>
  <c r="A1646" i="1"/>
  <c r="AO1645" i="1"/>
  <c r="N1645" i="1"/>
  <c r="G1645" i="1"/>
  <c r="A1645" i="1"/>
  <c r="AO1644" i="1"/>
  <c r="N1644" i="1"/>
  <c r="G1644" i="1"/>
  <c r="A1644" i="1"/>
  <c r="AO1643" i="1"/>
  <c r="N1643" i="1"/>
  <c r="G1643" i="1"/>
  <c r="A1643" i="1"/>
  <c r="AO1642" i="1"/>
  <c r="N1642" i="1"/>
  <c r="G1642" i="1"/>
  <c r="A1642" i="1"/>
  <c r="AO1641" i="1"/>
  <c r="N1641" i="1"/>
  <c r="G1641" i="1"/>
  <c r="A1641" i="1"/>
  <c r="AO1640" i="1"/>
  <c r="N1640" i="1"/>
  <c r="G1640" i="1"/>
  <c r="A1640" i="1"/>
  <c r="AO1639" i="1"/>
  <c r="N1639" i="1"/>
  <c r="G1639" i="1"/>
  <c r="A1639" i="1"/>
  <c r="AO1638" i="1"/>
  <c r="N1638" i="1"/>
  <c r="G1638" i="1"/>
  <c r="A1638" i="1"/>
  <c r="AO1637" i="1"/>
  <c r="N1637" i="1"/>
  <c r="G1637" i="1"/>
  <c r="A1637" i="1"/>
  <c r="AO1636" i="1"/>
  <c r="N1636" i="1"/>
  <c r="G1636" i="1"/>
  <c r="A1636" i="1"/>
  <c r="AO1635" i="1"/>
  <c r="N1635" i="1"/>
  <c r="G1635" i="1"/>
  <c r="A1635" i="1"/>
  <c r="AO1634" i="1"/>
  <c r="N1634" i="1"/>
  <c r="G1634" i="1"/>
  <c r="A1634" i="1"/>
  <c r="AO1633" i="1"/>
  <c r="N1633" i="1"/>
  <c r="G1633" i="1"/>
  <c r="A1633" i="1"/>
  <c r="AO1632" i="1"/>
  <c r="N1632" i="1"/>
  <c r="G1632" i="1"/>
  <c r="A1632" i="1"/>
  <c r="AO1631" i="1"/>
  <c r="N1631" i="1"/>
  <c r="G1631" i="1"/>
  <c r="A1631" i="1"/>
  <c r="AO1630" i="1"/>
  <c r="N1630" i="1"/>
  <c r="G1630" i="1"/>
  <c r="A1630" i="1"/>
  <c r="AO1629" i="1"/>
  <c r="N1629" i="1"/>
  <c r="G1629" i="1"/>
  <c r="A1629" i="1"/>
  <c r="AO1628" i="1"/>
  <c r="N1628" i="1"/>
  <c r="G1628" i="1"/>
  <c r="A1628" i="1"/>
  <c r="AO1627" i="1"/>
  <c r="N1627" i="1"/>
  <c r="G1627" i="1"/>
  <c r="A1627" i="1"/>
  <c r="AO1626" i="1"/>
  <c r="N1626" i="1"/>
  <c r="G1626" i="1"/>
  <c r="A1626" i="1"/>
  <c r="AO1625" i="1"/>
  <c r="N1625" i="1"/>
  <c r="G1625" i="1"/>
  <c r="A1625" i="1"/>
  <c r="AO1624" i="1"/>
  <c r="N1624" i="1"/>
  <c r="G1624" i="1"/>
  <c r="A1624" i="1"/>
  <c r="AO1623" i="1"/>
  <c r="N1623" i="1"/>
  <c r="G1623" i="1"/>
  <c r="A1623" i="1"/>
  <c r="AO1622" i="1"/>
  <c r="N1622" i="1"/>
  <c r="G1622" i="1"/>
  <c r="A1622" i="1"/>
  <c r="AO1621" i="1"/>
  <c r="N1621" i="1"/>
  <c r="G1621" i="1"/>
  <c r="A1621" i="1"/>
  <c r="AO1620" i="1"/>
  <c r="N1620" i="1"/>
  <c r="G1620" i="1"/>
  <c r="A1620" i="1"/>
  <c r="AO1619" i="1"/>
  <c r="N1619" i="1"/>
  <c r="G1619" i="1"/>
  <c r="A1619" i="1"/>
  <c r="AO1618" i="1"/>
  <c r="N1618" i="1"/>
  <c r="G1618" i="1"/>
  <c r="A1618" i="1"/>
  <c r="AO1617" i="1"/>
  <c r="N1617" i="1"/>
  <c r="G1617" i="1"/>
  <c r="A1617" i="1"/>
  <c r="AO1616" i="1"/>
  <c r="N1616" i="1"/>
  <c r="G1616" i="1"/>
  <c r="A1616" i="1"/>
  <c r="AO1615" i="1"/>
  <c r="N1615" i="1"/>
  <c r="G1615" i="1"/>
  <c r="A1615" i="1"/>
  <c r="AO1614" i="1"/>
  <c r="N1614" i="1"/>
  <c r="G1614" i="1"/>
  <c r="A1614" i="1"/>
  <c r="AO1613" i="1"/>
  <c r="N1613" i="1"/>
  <c r="G1613" i="1"/>
  <c r="A1613" i="1"/>
  <c r="AO1612" i="1"/>
  <c r="N1612" i="1"/>
  <c r="G1612" i="1"/>
  <c r="A1612" i="1"/>
  <c r="AO1611" i="1"/>
  <c r="N1611" i="1"/>
  <c r="G1611" i="1"/>
  <c r="A1611" i="1"/>
  <c r="AO1610" i="1"/>
  <c r="N1610" i="1"/>
  <c r="G1610" i="1"/>
  <c r="A1610" i="1"/>
  <c r="AO1609" i="1"/>
  <c r="N1609" i="1"/>
  <c r="G1609" i="1"/>
  <c r="A1609" i="1"/>
  <c r="AO1608" i="1"/>
  <c r="N1608" i="1"/>
  <c r="G1608" i="1"/>
  <c r="A1608" i="1"/>
  <c r="AO1607" i="1"/>
  <c r="N1607" i="1"/>
  <c r="G1607" i="1"/>
  <c r="A1607" i="1"/>
  <c r="AO1606" i="1"/>
  <c r="N1606" i="1"/>
  <c r="G1606" i="1"/>
  <c r="A1606" i="1"/>
  <c r="AO1605" i="1"/>
  <c r="N1605" i="1"/>
  <c r="G1605" i="1"/>
  <c r="A1605" i="1"/>
  <c r="AO1604" i="1"/>
  <c r="N1604" i="1"/>
  <c r="G1604" i="1"/>
  <c r="A1604" i="1"/>
  <c r="AO1603" i="1"/>
  <c r="N1603" i="1"/>
  <c r="G1603" i="1"/>
  <c r="A1603" i="1"/>
  <c r="AO1602" i="1"/>
  <c r="N1602" i="1"/>
  <c r="G1602" i="1"/>
  <c r="A1602" i="1"/>
  <c r="AO1601" i="1"/>
  <c r="N1601" i="1"/>
  <c r="G1601" i="1"/>
  <c r="A1601" i="1"/>
  <c r="AO1600" i="1"/>
  <c r="N1600" i="1"/>
  <c r="G1600" i="1"/>
  <c r="A1600" i="1"/>
  <c r="AO1599" i="1"/>
  <c r="N1599" i="1"/>
  <c r="G1599" i="1"/>
  <c r="A1599" i="1"/>
  <c r="AO1598" i="1"/>
  <c r="N1598" i="1"/>
  <c r="G1598" i="1"/>
  <c r="A1598" i="1"/>
  <c r="AO1597" i="1"/>
  <c r="N1597" i="1"/>
  <c r="G1597" i="1"/>
  <c r="A1597" i="1"/>
  <c r="AO1596" i="1"/>
  <c r="N1596" i="1"/>
  <c r="G1596" i="1"/>
  <c r="A1596" i="1"/>
  <c r="AO1595" i="1"/>
  <c r="N1595" i="1"/>
  <c r="G1595" i="1"/>
  <c r="A1595" i="1"/>
  <c r="AO1594" i="1"/>
  <c r="N1594" i="1"/>
  <c r="G1594" i="1"/>
  <c r="A1594" i="1"/>
  <c r="AO1593" i="1"/>
  <c r="N1593" i="1"/>
  <c r="G1593" i="1"/>
  <c r="A1593" i="1"/>
  <c r="AO1592" i="1"/>
  <c r="N1592" i="1"/>
  <c r="G1592" i="1"/>
  <c r="A1592" i="1"/>
  <c r="AO1591" i="1"/>
  <c r="N1591" i="1"/>
  <c r="G1591" i="1"/>
  <c r="A1591" i="1"/>
  <c r="AO1590" i="1"/>
  <c r="N1590" i="1"/>
  <c r="G1590" i="1"/>
  <c r="A1590" i="1"/>
  <c r="AO1589" i="1"/>
  <c r="N1589" i="1"/>
  <c r="G1589" i="1"/>
  <c r="A1589" i="1"/>
  <c r="AO1588" i="1"/>
  <c r="N1588" i="1"/>
  <c r="G1588" i="1"/>
  <c r="A1588" i="1"/>
  <c r="AO1587" i="1"/>
  <c r="N1587" i="1"/>
  <c r="G1587" i="1"/>
  <c r="A1587" i="1"/>
  <c r="AO1586" i="1"/>
  <c r="N1586" i="1"/>
  <c r="G1586" i="1"/>
  <c r="A1586" i="1"/>
  <c r="AO1585" i="1"/>
  <c r="N1585" i="1"/>
  <c r="G1585" i="1"/>
  <c r="A1585" i="1"/>
  <c r="AO1584" i="1"/>
  <c r="N1584" i="1"/>
  <c r="G1584" i="1"/>
  <c r="A1584" i="1"/>
  <c r="AO1583" i="1"/>
  <c r="N1583" i="1"/>
  <c r="G1583" i="1"/>
  <c r="A1583" i="1"/>
  <c r="AO1582" i="1"/>
  <c r="N1582" i="1"/>
  <c r="G1582" i="1"/>
  <c r="A1582" i="1"/>
  <c r="AO1581" i="1"/>
  <c r="N1581" i="1"/>
  <c r="G1581" i="1"/>
  <c r="A1581" i="1"/>
  <c r="AO1580" i="1"/>
  <c r="N1580" i="1"/>
  <c r="G1580" i="1"/>
  <c r="A1580" i="1"/>
  <c r="AO1579" i="1"/>
  <c r="N1579" i="1"/>
  <c r="G1579" i="1"/>
  <c r="A1579" i="1"/>
  <c r="AO1578" i="1"/>
  <c r="N1578" i="1"/>
  <c r="G1578" i="1"/>
  <c r="A1578" i="1"/>
  <c r="AO1577" i="1"/>
  <c r="N1577" i="1"/>
  <c r="G1577" i="1"/>
  <c r="A1577" i="1"/>
  <c r="AO1576" i="1"/>
  <c r="N1576" i="1"/>
  <c r="G1576" i="1"/>
  <c r="A1576" i="1"/>
  <c r="AO1575" i="1"/>
  <c r="N1575" i="1"/>
  <c r="G1575" i="1"/>
  <c r="A1575" i="1"/>
  <c r="AO1574" i="1"/>
  <c r="N1574" i="1"/>
  <c r="G1574" i="1"/>
  <c r="A1574" i="1"/>
  <c r="AO1573" i="1"/>
  <c r="N1573" i="1"/>
  <c r="G1573" i="1"/>
  <c r="A1573" i="1"/>
  <c r="AO1572" i="1"/>
  <c r="N1572" i="1"/>
  <c r="G1572" i="1"/>
  <c r="A1572" i="1"/>
  <c r="AO1571" i="1"/>
  <c r="N1571" i="1"/>
  <c r="G1571" i="1"/>
  <c r="A1571" i="1"/>
  <c r="AO1570" i="1"/>
  <c r="N1570" i="1"/>
  <c r="G1570" i="1"/>
  <c r="A1570" i="1"/>
  <c r="AO1569" i="1"/>
  <c r="N1569" i="1"/>
  <c r="G1569" i="1"/>
  <c r="A1569" i="1"/>
  <c r="AO1568" i="1"/>
  <c r="N1568" i="1"/>
  <c r="G1568" i="1"/>
  <c r="A1568" i="1"/>
  <c r="AO1567" i="1"/>
  <c r="N1567" i="1"/>
  <c r="G1567" i="1"/>
  <c r="A1567" i="1"/>
  <c r="AO1566" i="1"/>
  <c r="N1566" i="1"/>
  <c r="G1566" i="1"/>
  <c r="A1566" i="1"/>
  <c r="AO1565" i="1"/>
  <c r="N1565" i="1"/>
  <c r="G1565" i="1"/>
  <c r="A1565" i="1"/>
  <c r="AO1564" i="1"/>
  <c r="N1564" i="1"/>
  <c r="G1564" i="1"/>
  <c r="A1564" i="1"/>
  <c r="AO1563" i="1"/>
  <c r="N1563" i="1"/>
  <c r="G1563" i="1"/>
  <c r="A1563" i="1"/>
  <c r="AO1562" i="1"/>
  <c r="N1562" i="1"/>
  <c r="G1562" i="1"/>
  <c r="A1562" i="1"/>
  <c r="AO1561" i="1"/>
  <c r="N1561" i="1"/>
  <c r="G1561" i="1"/>
  <c r="A1561" i="1"/>
  <c r="AO1560" i="1"/>
  <c r="N1560" i="1"/>
  <c r="G1560" i="1"/>
  <c r="A1560" i="1"/>
  <c r="AO1559" i="1"/>
  <c r="N1559" i="1"/>
  <c r="G1559" i="1"/>
  <c r="A1559" i="1"/>
  <c r="AO1558" i="1"/>
  <c r="N1558" i="1"/>
  <c r="G1558" i="1"/>
  <c r="A1558" i="1"/>
  <c r="AO1557" i="1"/>
  <c r="N1557" i="1"/>
  <c r="G1557" i="1"/>
  <c r="A1557" i="1"/>
  <c r="AO1556" i="1"/>
  <c r="N1556" i="1"/>
  <c r="G1556" i="1"/>
  <c r="A1556" i="1"/>
  <c r="AO1555" i="1"/>
  <c r="N1555" i="1"/>
  <c r="G1555" i="1"/>
  <c r="A1555" i="1"/>
  <c r="AO1554" i="1"/>
  <c r="N1554" i="1"/>
  <c r="G1554" i="1"/>
  <c r="A1554" i="1"/>
  <c r="AO1553" i="1"/>
  <c r="N1553" i="1"/>
  <c r="G1553" i="1"/>
  <c r="A1553" i="1"/>
  <c r="AO1552" i="1"/>
  <c r="N1552" i="1"/>
  <c r="G1552" i="1"/>
  <c r="A1552" i="1"/>
  <c r="AO1551" i="1"/>
  <c r="N1551" i="1"/>
  <c r="G1551" i="1"/>
  <c r="A1551" i="1"/>
  <c r="AO1550" i="1"/>
  <c r="N1550" i="1"/>
  <c r="G1550" i="1"/>
  <c r="A1550" i="1"/>
  <c r="AO1549" i="1"/>
  <c r="N1549" i="1"/>
  <c r="G1549" i="1"/>
  <c r="A1549" i="1"/>
  <c r="AO1548" i="1"/>
  <c r="N1548" i="1"/>
  <c r="G1548" i="1"/>
  <c r="A1548" i="1"/>
  <c r="AO1547" i="1"/>
  <c r="N1547" i="1"/>
  <c r="G1547" i="1"/>
  <c r="A1547" i="1"/>
  <c r="AO1546" i="1"/>
  <c r="N1546" i="1"/>
  <c r="G1546" i="1"/>
  <c r="A1546" i="1"/>
  <c r="AO1545" i="1"/>
  <c r="N1545" i="1"/>
  <c r="G1545" i="1"/>
  <c r="A1545" i="1"/>
  <c r="AO1544" i="1"/>
  <c r="N1544" i="1"/>
  <c r="G1544" i="1"/>
  <c r="A1544" i="1"/>
  <c r="AO1543" i="1"/>
  <c r="N1543" i="1"/>
  <c r="G1543" i="1"/>
  <c r="A1543" i="1"/>
  <c r="AO1542" i="1"/>
  <c r="N1542" i="1"/>
  <c r="G1542" i="1"/>
  <c r="A1542" i="1"/>
  <c r="AO1541" i="1"/>
  <c r="N1541" i="1"/>
  <c r="G1541" i="1"/>
  <c r="A1541" i="1"/>
  <c r="AO1540" i="1"/>
  <c r="N1540" i="1"/>
  <c r="G1540" i="1"/>
  <c r="A1540" i="1"/>
  <c r="AO1539" i="1"/>
  <c r="N1539" i="1"/>
  <c r="G1539" i="1"/>
  <c r="A1539" i="1"/>
  <c r="AO1538" i="1"/>
  <c r="N1538" i="1"/>
  <c r="G1538" i="1"/>
  <c r="A1538" i="1"/>
  <c r="AO1537" i="1"/>
  <c r="N1537" i="1"/>
  <c r="G1537" i="1"/>
  <c r="A1537" i="1"/>
  <c r="AO1536" i="1"/>
  <c r="N1536" i="1"/>
  <c r="G1536" i="1"/>
  <c r="A1536" i="1"/>
  <c r="AO1535" i="1"/>
  <c r="N1535" i="1"/>
  <c r="G1535" i="1"/>
  <c r="A1535" i="1"/>
  <c r="AO1534" i="1"/>
  <c r="N1534" i="1"/>
  <c r="G1534" i="1"/>
  <c r="A1534" i="1"/>
  <c r="AO1533" i="1"/>
  <c r="N1533" i="1"/>
  <c r="G1533" i="1"/>
  <c r="A1533" i="1"/>
  <c r="AO1532" i="1"/>
  <c r="N1532" i="1"/>
  <c r="G1532" i="1"/>
  <c r="A1532" i="1"/>
  <c r="AO1531" i="1"/>
  <c r="N1531" i="1"/>
  <c r="G1531" i="1"/>
  <c r="A1531" i="1"/>
  <c r="AO1530" i="1"/>
  <c r="N1530" i="1"/>
  <c r="G1530" i="1"/>
  <c r="A1530" i="1"/>
  <c r="AO1529" i="1"/>
  <c r="N1529" i="1"/>
  <c r="G1529" i="1"/>
  <c r="A1529" i="1"/>
  <c r="AO1528" i="1"/>
  <c r="N1528" i="1"/>
  <c r="G1528" i="1"/>
  <c r="A1528" i="1"/>
  <c r="AO1527" i="1"/>
  <c r="N1527" i="1"/>
  <c r="G1527" i="1"/>
  <c r="A1527" i="1"/>
  <c r="AO1526" i="1"/>
  <c r="N1526" i="1"/>
  <c r="G1526" i="1"/>
  <c r="A1526" i="1"/>
  <c r="AO1525" i="1"/>
  <c r="N1525" i="1"/>
  <c r="G1525" i="1"/>
  <c r="A1525" i="1"/>
  <c r="AO1524" i="1"/>
  <c r="N1524" i="1"/>
  <c r="G1524" i="1"/>
  <c r="A1524" i="1"/>
  <c r="AO1523" i="1"/>
  <c r="N1523" i="1"/>
  <c r="G1523" i="1"/>
  <c r="A1523" i="1"/>
  <c r="AO1522" i="1"/>
  <c r="N1522" i="1"/>
  <c r="G1522" i="1"/>
  <c r="A1522" i="1"/>
  <c r="AO1521" i="1"/>
  <c r="N1521" i="1"/>
  <c r="G1521" i="1"/>
  <c r="A1521" i="1"/>
  <c r="AO1520" i="1"/>
  <c r="N1520" i="1"/>
  <c r="G1520" i="1"/>
  <c r="A1520" i="1"/>
  <c r="AO1519" i="1"/>
  <c r="N1519" i="1"/>
  <c r="G1519" i="1"/>
  <c r="A1519" i="1"/>
  <c r="AO1518" i="1"/>
  <c r="N1518" i="1"/>
  <c r="G1518" i="1"/>
  <c r="A1518" i="1"/>
  <c r="AO1517" i="1"/>
  <c r="N1517" i="1"/>
  <c r="G1517" i="1"/>
  <c r="A1517" i="1"/>
  <c r="AO1516" i="1"/>
  <c r="N1516" i="1"/>
  <c r="G1516" i="1"/>
  <c r="A1516" i="1"/>
  <c r="AO1515" i="1"/>
  <c r="N1515" i="1"/>
  <c r="G1515" i="1"/>
  <c r="A1515" i="1"/>
  <c r="AO1514" i="1"/>
  <c r="N1514" i="1"/>
  <c r="G1514" i="1"/>
  <c r="A1514" i="1"/>
  <c r="AO1513" i="1"/>
  <c r="N1513" i="1"/>
  <c r="G1513" i="1"/>
  <c r="A1513" i="1"/>
  <c r="AO1512" i="1"/>
  <c r="N1512" i="1"/>
  <c r="G1512" i="1"/>
  <c r="A1512" i="1"/>
  <c r="AO1511" i="1"/>
  <c r="N1511" i="1"/>
  <c r="G1511" i="1"/>
  <c r="A1511" i="1"/>
  <c r="AO1510" i="1"/>
  <c r="N1510" i="1"/>
  <c r="G1510" i="1"/>
  <c r="A1510" i="1"/>
  <c r="AO1509" i="1"/>
  <c r="N1509" i="1"/>
  <c r="G1509" i="1"/>
  <c r="A1509" i="1"/>
  <c r="AO1508" i="1"/>
  <c r="N1508" i="1"/>
  <c r="G1508" i="1"/>
  <c r="A1508" i="1"/>
  <c r="AO1507" i="1"/>
  <c r="N1507" i="1"/>
  <c r="G1507" i="1"/>
  <c r="A1507" i="1"/>
  <c r="AO1506" i="1"/>
  <c r="N1506" i="1"/>
  <c r="G1506" i="1"/>
  <c r="A1506" i="1"/>
  <c r="AO1505" i="1"/>
  <c r="N1505" i="1"/>
  <c r="G1505" i="1"/>
  <c r="A1505" i="1"/>
  <c r="AO1504" i="1"/>
  <c r="N1504" i="1"/>
  <c r="G1504" i="1"/>
  <c r="A1504" i="1"/>
  <c r="AO1503" i="1"/>
  <c r="N1503" i="1"/>
  <c r="G1503" i="1"/>
  <c r="A1503" i="1"/>
  <c r="AO1502" i="1"/>
  <c r="N1502" i="1"/>
  <c r="G1502" i="1"/>
  <c r="A1502" i="1"/>
  <c r="AO1501" i="1"/>
  <c r="N1501" i="1"/>
  <c r="G1501" i="1"/>
  <c r="A1501" i="1"/>
  <c r="AO1500" i="1"/>
  <c r="N1500" i="1"/>
  <c r="G1500" i="1"/>
  <c r="A1500" i="1"/>
  <c r="AO1499" i="1"/>
  <c r="N1499" i="1"/>
  <c r="G1499" i="1"/>
  <c r="A1499" i="1"/>
  <c r="AO1498" i="1"/>
  <c r="N1498" i="1"/>
  <c r="G1498" i="1"/>
  <c r="A1498" i="1"/>
  <c r="AO1497" i="1"/>
  <c r="N1497" i="1"/>
  <c r="G1497" i="1"/>
  <c r="A1497" i="1"/>
  <c r="AO1496" i="1"/>
  <c r="N1496" i="1"/>
  <c r="G1496" i="1"/>
  <c r="A1496" i="1"/>
  <c r="AO1495" i="1"/>
  <c r="N1495" i="1"/>
  <c r="G1495" i="1"/>
  <c r="A1495" i="1"/>
  <c r="AO1494" i="1"/>
  <c r="N1494" i="1"/>
  <c r="G1494" i="1"/>
  <c r="A1494" i="1"/>
  <c r="AO1493" i="1"/>
  <c r="N1493" i="1"/>
  <c r="G1493" i="1"/>
  <c r="A1493" i="1"/>
  <c r="AO1492" i="1"/>
  <c r="N1492" i="1"/>
  <c r="G1492" i="1"/>
  <c r="A1492" i="1"/>
  <c r="AO1491" i="1"/>
  <c r="N1491" i="1"/>
  <c r="G1491" i="1"/>
  <c r="A1491" i="1"/>
  <c r="AO1490" i="1"/>
  <c r="N1490" i="1"/>
  <c r="G1490" i="1"/>
  <c r="A1490" i="1"/>
  <c r="AO1489" i="1"/>
  <c r="N1489" i="1"/>
  <c r="G1489" i="1"/>
  <c r="A1489" i="1"/>
  <c r="AO1488" i="1"/>
  <c r="N1488" i="1"/>
  <c r="G1488" i="1"/>
  <c r="A1488" i="1"/>
  <c r="AO1487" i="1"/>
  <c r="N1487" i="1"/>
  <c r="G1487" i="1"/>
  <c r="A1487" i="1"/>
  <c r="AO1486" i="1"/>
  <c r="N1486" i="1"/>
  <c r="G1486" i="1"/>
  <c r="A1486" i="1"/>
  <c r="AO1485" i="1"/>
  <c r="N1485" i="1"/>
  <c r="G1485" i="1"/>
  <c r="A1485" i="1"/>
  <c r="AO1484" i="1"/>
  <c r="N1484" i="1"/>
  <c r="G1484" i="1"/>
  <c r="A1484" i="1"/>
  <c r="AO1483" i="1"/>
  <c r="N1483" i="1"/>
  <c r="G1483" i="1"/>
  <c r="A1483" i="1"/>
  <c r="AO1482" i="1"/>
  <c r="N1482" i="1"/>
  <c r="G1482" i="1"/>
  <c r="A1482" i="1"/>
  <c r="AO1481" i="1"/>
  <c r="N1481" i="1"/>
  <c r="G1481" i="1"/>
  <c r="A1481" i="1"/>
  <c r="AO1480" i="1"/>
  <c r="N1480" i="1"/>
  <c r="G1480" i="1"/>
  <c r="A1480" i="1"/>
  <c r="AO1479" i="1"/>
  <c r="N1479" i="1"/>
  <c r="G1479" i="1"/>
  <c r="A1479" i="1"/>
  <c r="AO1478" i="1"/>
  <c r="N1478" i="1"/>
  <c r="G1478" i="1"/>
  <c r="A1478" i="1"/>
  <c r="AO1477" i="1"/>
  <c r="N1477" i="1"/>
  <c r="G1477" i="1"/>
  <c r="A1477" i="1"/>
  <c r="AO1476" i="1"/>
  <c r="N1476" i="1"/>
  <c r="G1476" i="1"/>
  <c r="A1476" i="1"/>
  <c r="AO1475" i="1"/>
  <c r="N1475" i="1"/>
  <c r="G1475" i="1"/>
  <c r="A1475" i="1"/>
  <c r="AO1474" i="1"/>
  <c r="N1474" i="1"/>
  <c r="G1474" i="1"/>
  <c r="A1474" i="1"/>
  <c r="AO1473" i="1"/>
  <c r="N1473" i="1"/>
  <c r="G1473" i="1"/>
  <c r="A1473" i="1"/>
  <c r="AO1472" i="1"/>
  <c r="N1472" i="1"/>
  <c r="G1472" i="1"/>
  <c r="A1472" i="1"/>
  <c r="AO1471" i="1"/>
  <c r="N1471" i="1"/>
  <c r="G1471" i="1"/>
  <c r="A1471" i="1"/>
  <c r="AO1470" i="1"/>
  <c r="N1470" i="1"/>
  <c r="G1470" i="1"/>
  <c r="A1470" i="1"/>
  <c r="AO1469" i="1"/>
  <c r="N1469" i="1"/>
  <c r="G1469" i="1"/>
  <c r="A1469" i="1"/>
  <c r="AO1468" i="1"/>
  <c r="N1468" i="1"/>
  <c r="G1468" i="1"/>
  <c r="A1468" i="1"/>
  <c r="AO1467" i="1"/>
  <c r="N1467" i="1"/>
  <c r="G1467" i="1"/>
  <c r="A1467" i="1"/>
  <c r="AO1466" i="1"/>
  <c r="N1466" i="1"/>
  <c r="G1466" i="1"/>
  <c r="A1466" i="1"/>
  <c r="AO1465" i="1"/>
  <c r="N1465" i="1"/>
  <c r="G1465" i="1"/>
  <c r="A1465" i="1"/>
  <c r="AO1464" i="1"/>
  <c r="N1464" i="1"/>
  <c r="G1464" i="1"/>
  <c r="A1464" i="1"/>
  <c r="AO1463" i="1"/>
  <c r="N1463" i="1"/>
  <c r="G1463" i="1"/>
  <c r="A1463" i="1"/>
  <c r="AO1462" i="1"/>
  <c r="N1462" i="1"/>
  <c r="G1462" i="1"/>
  <c r="A1462" i="1"/>
  <c r="AO1461" i="1"/>
  <c r="N1461" i="1"/>
  <c r="G1461" i="1"/>
  <c r="A1461" i="1"/>
  <c r="AO1460" i="1"/>
  <c r="N1460" i="1"/>
  <c r="G1460" i="1"/>
  <c r="A1460" i="1"/>
  <c r="AO1459" i="1"/>
  <c r="N1459" i="1"/>
  <c r="G1459" i="1"/>
  <c r="A1459" i="1"/>
  <c r="AO1458" i="1"/>
  <c r="N1458" i="1"/>
  <c r="G1458" i="1"/>
  <c r="A1458" i="1"/>
  <c r="AO1457" i="1"/>
  <c r="N1457" i="1"/>
  <c r="G1457" i="1"/>
  <c r="A1457" i="1"/>
  <c r="AO1456" i="1"/>
  <c r="N1456" i="1"/>
  <c r="G1456" i="1"/>
  <c r="A1456" i="1"/>
  <c r="AO1455" i="1"/>
  <c r="N1455" i="1"/>
  <c r="G1455" i="1"/>
  <c r="A1455" i="1"/>
  <c r="AO1454" i="1"/>
  <c r="N1454" i="1"/>
  <c r="G1454" i="1"/>
  <c r="A1454" i="1"/>
  <c r="AO1453" i="1"/>
  <c r="N1453" i="1"/>
  <c r="G1453" i="1"/>
  <c r="A1453" i="1"/>
  <c r="AO1452" i="1"/>
  <c r="N1452" i="1"/>
  <c r="G1452" i="1"/>
  <c r="A1452" i="1"/>
  <c r="AO1451" i="1"/>
  <c r="N1451" i="1"/>
  <c r="G1451" i="1"/>
  <c r="A1451" i="1"/>
  <c r="AO1450" i="1"/>
  <c r="N1450" i="1"/>
  <c r="G1450" i="1"/>
  <c r="A1450" i="1"/>
  <c r="AO1449" i="1"/>
  <c r="N1449" i="1"/>
  <c r="G1449" i="1"/>
  <c r="A1449" i="1"/>
  <c r="AO1448" i="1"/>
  <c r="N1448" i="1"/>
  <c r="G1448" i="1"/>
  <c r="A1448" i="1"/>
  <c r="AO1447" i="1"/>
  <c r="N1447" i="1"/>
  <c r="G1447" i="1"/>
  <c r="A1447" i="1"/>
  <c r="AO1446" i="1"/>
  <c r="N1446" i="1"/>
  <c r="G1446" i="1"/>
  <c r="A1446" i="1"/>
  <c r="AO1445" i="1"/>
  <c r="N1445" i="1"/>
  <c r="G1445" i="1"/>
  <c r="A1445" i="1"/>
  <c r="AO1444" i="1"/>
  <c r="N1444" i="1"/>
  <c r="G1444" i="1"/>
  <c r="A1444" i="1"/>
  <c r="AO1443" i="1"/>
  <c r="N1443" i="1"/>
  <c r="G1443" i="1"/>
  <c r="A1443" i="1"/>
  <c r="AO1442" i="1"/>
  <c r="N1442" i="1"/>
  <c r="G1442" i="1"/>
  <c r="A1442" i="1"/>
  <c r="AO1441" i="1"/>
  <c r="N1441" i="1"/>
  <c r="G1441" i="1"/>
  <c r="A1441" i="1"/>
  <c r="AO1440" i="1"/>
  <c r="N1440" i="1"/>
  <c r="G1440" i="1"/>
  <c r="A1440" i="1"/>
  <c r="AO1439" i="1"/>
  <c r="N1439" i="1"/>
  <c r="G1439" i="1"/>
  <c r="A1439" i="1"/>
  <c r="AO1438" i="1"/>
  <c r="N1438" i="1"/>
  <c r="G1438" i="1"/>
  <c r="A1438" i="1"/>
  <c r="AO1437" i="1"/>
  <c r="N1437" i="1"/>
  <c r="G1437" i="1"/>
  <c r="A1437" i="1"/>
  <c r="AO1436" i="1"/>
  <c r="N1436" i="1"/>
  <c r="G1436" i="1"/>
  <c r="A1436" i="1"/>
  <c r="AO1435" i="1"/>
  <c r="N1435" i="1"/>
  <c r="G1435" i="1"/>
  <c r="A1435" i="1"/>
  <c r="AO1434" i="1"/>
  <c r="N1434" i="1"/>
  <c r="G1434" i="1"/>
  <c r="A1434" i="1"/>
  <c r="AO1433" i="1"/>
  <c r="N1433" i="1"/>
  <c r="G1433" i="1"/>
  <c r="A1433" i="1"/>
  <c r="AO1432" i="1"/>
  <c r="N1432" i="1"/>
  <c r="G1432" i="1"/>
  <c r="A1432" i="1"/>
  <c r="AO1431" i="1"/>
  <c r="N1431" i="1"/>
  <c r="G1431" i="1"/>
  <c r="A1431" i="1"/>
  <c r="AO1430" i="1"/>
  <c r="N1430" i="1"/>
  <c r="G1430" i="1"/>
  <c r="A1430" i="1"/>
  <c r="AO1429" i="1"/>
  <c r="N1429" i="1"/>
  <c r="G1429" i="1"/>
  <c r="A1429" i="1"/>
  <c r="AO1428" i="1"/>
  <c r="N1428" i="1"/>
  <c r="G1428" i="1"/>
  <c r="A1428" i="1"/>
  <c r="AO1427" i="1"/>
  <c r="N1427" i="1"/>
  <c r="G1427" i="1"/>
  <c r="A1427" i="1"/>
  <c r="AO1426" i="1"/>
  <c r="N1426" i="1"/>
  <c r="G1426" i="1"/>
  <c r="A1426" i="1"/>
  <c r="AO1425" i="1"/>
  <c r="N1425" i="1"/>
  <c r="G1425" i="1"/>
  <c r="A1425" i="1"/>
  <c r="AO1424" i="1"/>
  <c r="N1424" i="1"/>
  <c r="G1424" i="1"/>
  <c r="A1424" i="1"/>
  <c r="AO1423" i="1"/>
  <c r="N1423" i="1"/>
  <c r="G1423" i="1"/>
  <c r="A1423" i="1"/>
  <c r="AO1422" i="1"/>
  <c r="N1422" i="1"/>
  <c r="G1422" i="1"/>
  <c r="A1422" i="1"/>
  <c r="AO1421" i="1"/>
  <c r="N1421" i="1"/>
  <c r="G1421" i="1"/>
  <c r="A1421" i="1"/>
  <c r="AO1420" i="1"/>
  <c r="N1420" i="1"/>
  <c r="G1420" i="1"/>
  <c r="A1420" i="1"/>
  <c r="AO1419" i="1"/>
  <c r="N1419" i="1"/>
  <c r="G1419" i="1"/>
  <c r="A1419" i="1"/>
  <c r="AO1418" i="1"/>
  <c r="N1418" i="1"/>
  <c r="G1418" i="1"/>
  <c r="A1418" i="1"/>
  <c r="AO1417" i="1"/>
  <c r="N1417" i="1"/>
  <c r="G1417" i="1"/>
  <c r="A1417" i="1"/>
  <c r="AO1416" i="1"/>
  <c r="N1416" i="1"/>
  <c r="G1416" i="1"/>
  <c r="A1416" i="1"/>
  <c r="AO1415" i="1"/>
  <c r="N1415" i="1"/>
  <c r="G1415" i="1"/>
  <c r="A1415" i="1"/>
  <c r="AO1414" i="1"/>
  <c r="N1414" i="1"/>
  <c r="G1414" i="1"/>
  <c r="A1414" i="1"/>
  <c r="AO1413" i="1"/>
  <c r="N1413" i="1"/>
  <c r="G1413" i="1"/>
  <c r="A1413" i="1"/>
  <c r="AO1412" i="1"/>
  <c r="N1412" i="1"/>
  <c r="G1412" i="1"/>
  <c r="A1412" i="1"/>
  <c r="AO1411" i="1"/>
  <c r="N1411" i="1"/>
  <c r="G1411" i="1"/>
  <c r="A1411" i="1"/>
  <c r="AO1410" i="1"/>
  <c r="N1410" i="1"/>
  <c r="G1410" i="1"/>
  <c r="A1410" i="1"/>
  <c r="AO1409" i="1"/>
  <c r="N1409" i="1"/>
  <c r="G1409" i="1"/>
  <c r="A1409" i="1"/>
  <c r="AO1408" i="1"/>
  <c r="N1408" i="1"/>
  <c r="G1408" i="1"/>
  <c r="A1408" i="1"/>
  <c r="AO1407" i="1"/>
  <c r="N1407" i="1"/>
  <c r="G1407" i="1"/>
  <c r="A1407" i="1"/>
  <c r="AO1406" i="1"/>
  <c r="N1406" i="1"/>
  <c r="G1406" i="1"/>
  <c r="A1406" i="1"/>
  <c r="AO1405" i="1"/>
  <c r="N1405" i="1"/>
  <c r="G1405" i="1"/>
  <c r="A1405" i="1"/>
  <c r="AO1404" i="1"/>
  <c r="N1404" i="1"/>
  <c r="G1404" i="1"/>
  <c r="A1404" i="1"/>
  <c r="AO1403" i="1"/>
  <c r="N1403" i="1"/>
  <c r="G1403" i="1"/>
  <c r="A1403" i="1"/>
  <c r="AO1402" i="1"/>
  <c r="N1402" i="1"/>
  <c r="G1402" i="1"/>
  <c r="A1402" i="1"/>
  <c r="AO1401" i="1"/>
  <c r="N1401" i="1"/>
  <c r="G1401" i="1"/>
  <c r="A1401" i="1"/>
  <c r="AO1400" i="1"/>
  <c r="N1400" i="1"/>
  <c r="G1400" i="1"/>
  <c r="A1400" i="1"/>
  <c r="AO1399" i="1"/>
  <c r="N1399" i="1"/>
  <c r="G1399" i="1"/>
  <c r="A1399" i="1"/>
  <c r="AO1398" i="1"/>
  <c r="N1398" i="1"/>
  <c r="G1398" i="1"/>
  <c r="A1398" i="1"/>
  <c r="AO1397" i="1"/>
  <c r="N1397" i="1"/>
  <c r="G1397" i="1"/>
  <c r="A1397" i="1"/>
  <c r="AO1396" i="1"/>
  <c r="N1396" i="1"/>
  <c r="G1396" i="1"/>
  <c r="A1396" i="1"/>
  <c r="AO1395" i="1"/>
  <c r="N1395" i="1"/>
  <c r="G1395" i="1"/>
  <c r="A1395" i="1"/>
  <c r="AO1394" i="1"/>
  <c r="N1394" i="1"/>
  <c r="G1394" i="1"/>
  <c r="A1394" i="1"/>
  <c r="AO1393" i="1"/>
  <c r="N1393" i="1"/>
  <c r="G1393" i="1"/>
  <c r="A1393" i="1"/>
  <c r="AO1392" i="1"/>
  <c r="N1392" i="1"/>
  <c r="G1392" i="1"/>
  <c r="A1392" i="1"/>
  <c r="AO1391" i="1"/>
  <c r="N1391" i="1"/>
  <c r="G1391" i="1"/>
  <c r="A1391" i="1"/>
  <c r="AO1390" i="1"/>
  <c r="N1390" i="1"/>
  <c r="G1390" i="1"/>
  <c r="A1390" i="1"/>
  <c r="AO1389" i="1"/>
  <c r="N1389" i="1"/>
  <c r="G1389" i="1"/>
  <c r="A1389" i="1"/>
  <c r="AO1388" i="1"/>
  <c r="N1388" i="1"/>
  <c r="G1388" i="1"/>
  <c r="A1388" i="1"/>
  <c r="AO1387" i="1"/>
  <c r="N1387" i="1"/>
  <c r="G1387" i="1"/>
  <c r="A1387" i="1"/>
  <c r="AO1386" i="1"/>
  <c r="N1386" i="1"/>
  <c r="G1386" i="1"/>
  <c r="A1386" i="1"/>
  <c r="AO1385" i="1"/>
  <c r="N1385" i="1"/>
  <c r="G1385" i="1"/>
  <c r="A1385" i="1"/>
  <c r="AO1384" i="1"/>
  <c r="N1384" i="1"/>
  <c r="G1384" i="1"/>
  <c r="A1384" i="1"/>
  <c r="AO1383" i="1"/>
  <c r="N1383" i="1"/>
  <c r="G1383" i="1"/>
  <c r="A1383" i="1"/>
  <c r="AO1382" i="1"/>
  <c r="N1382" i="1"/>
  <c r="G1382" i="1"/>
  <c r="A1382" i="1"/>
  <c r="AO1381" i="1"/>
  <c r="N1381" i="1"/>
  <c r="G1381" i="1"/>
  <c r="A1381" i="1"/>
  <c r="AO1380" i="1"/>
  <c r="N1380" i="1"/>
  <c r="G1380" i="1"/>
  <c r="A1380" i="1"/>
  <c r="AO1379" i="1"/>
  <c r="N1379" i="1"/>
  <c r="G1379" i="1"/>
  <c r="A1379" i="1"/>
  <c r="AO1378" i="1"/>
  <c r="N1378" i="1"/>
  <c r="G1378" i="1"/>
  <c r="A1378" i="1"/>
  <c r="AO1377" i="1"/>
  <c r="N1377" i="1"/>
  <c r="G1377" i="1"/>
  <c r="A1377" i="1"/>
  <c r="AO1376" i="1"/>
  <c r="N1376" i="1"/>
  <c r="G1376" i="1"/>
  <c r="A1376" i="1"/>
  <c r="AO1375" i="1"/>
  <c r="N1375" i="1"/>
  <c r="G1375" i="1"/>
  <c r="A1375" i="1"/>
  <c r="AO1374" i="1"/>
  <c r="N1374" i="1"/>
  <c r="G1374" i="1"/>
  <c r="A1374" i="1"/>
  <c r="AO1373" i="1"/>
  <c r="N1373" i="1"/>
  <c r="G1373" i="1"/>
  <c r="A1373" i="1"/>
  <c r="AO1372" i="1"/>
  <c r="N1372" i="1"/>
  <c r="G1372" i="1"/>
  <c r="A1372" i="1"/>
  <c r="AO1371" i="1"/>
  <c r="N1371" i="1"/>
  <c r="G1371" i="1"/>
  <c r="A1371" i="1"/>
  <c r="AO1370" i="1"/>
  <c r="N1370" i="1"/>
  <c r="G1370" i="1"/>
  <c r="A1370" i="1"/>
  <c r="AO1369" i="1"/>
  <c r="N1369" i="1"/>
  <c r="G1369" i="1"/>
  <c r="A1369" i="1"/>
  <c r="AO1368" i="1"/>
  <c r="N1368" i="1"/>
  <c r="G1368" i="1"/>
  <c r="A1368" i="1"/>
  <c r="AO1367" i="1"/>
  <c r="N1367" i="1"/>
  <c r="G1367" i="1"/>
  <c r="A1367" i="1"/>
  <c r="AO1366" i="1"/>
  <c r="N1366" i="1"/>
  <c r="G1366" i="1"/>
  <c r="A1366" i="1"/>
  <c r="AO1365" i="1"/>
  <c r="N1365" i="1"/>
  <c r="G1365" i="1"/>
  <c r="A1365" i="1"/>
  <c r="AO1364" i="1"/>
  <c r="N1364" i="1"/>
  <c r="G1364" i="1"/>
  <c r="A1364" i="1"/>
  <c r="AO1363" i="1"/>
  <c r="N1363" i="1"/>
  <c r="G1363" i="1"/>
  <c r="A1363" i="1"/>
  <c r="AO1362" i="1"/>
  <c r="N1362" i="1"/>
  <c r="G1362" i="1"/>
  <c r="A1362" i="1"/>
  <c r="AO1361" i="1"/>
  <c r="N1361" i="1"/>
  <c r="G1361" i="1"/>
  <c r="A1361" i="1"/>
  <c r="AO1360" i="1"/>
  <c r="N1360" i="1"/>
  <c r="G1360" i="1"/>
  <c r="A1360" i="1"/>
  <c r="AO1359" i="1"/>
  <c r="N1359" i="1"/>
  <c r="G1359" i="1"/>
  <c r="A1359" i="1"/>
  <c r="AO1358" i="1"/>
  <c r="N1358" i="1"/>
  <c r="G1358" i="1"/>
  <c r="A1358" i="1"/>
  <c r="AO1357" i="1"/>
  <c r="N1357" i="1"/>
  <c r="G1357" i="1"/>
  <c r="A1357" i="1"/>
  <c r="AO1356" i="1"/>
  <c r="N1356" i="1"/>
  <c r="G1356" i="1"/>
  <c r="A1356" i="1"/>
  <c r="AO1355" i="1"/>
  <c r="N1355" i="1"/>
  <c r="G1355" i="1"/>
  <c r="A1355" i="1"/>
  <c r="AO1354" i="1"/>
  <c r="N1354" i="1"/>
  <c r="G1354" i="1"/>
  <c r="A1354" i="1"/>
  <c r="AO1353" i="1"/>
  <c r="N1353" i="1"/>
  <c r="G1353" i="1"/>
  <c r="A1353" i="1"/>
  <c r="AO1352" i="1"/>
  <c r="N1352" i="1"/>
  <c r="G1352" i="1"/>
  <c r="A1352" i="1"/>
  <c r="AO1351" i="1"/>
  <c r="N1351" i="1"/>
  <c r="G1351" i="1"/>
  <c r="A1351" i="1"/>
  <c r="AO1350" i="1"/>
  <c r="N1350" i="1"/>
  <c r="G1350" i="1"/>
  <c r="A1350" i="1"/>
  <c r="AO1349" i="1"/>
  <c r="N1349" i="1"/>
  <c r="G1349" i="1"/>
  <c r="A1349" i="1"/>
  <c r="AO1348" i="1"/>
  <c r="N1348" i="1"/>
  <c r="G1348" i="1"/>
  <c r="A1348" i="1"/>
  <c r="AO1347" i="1"/>
  <c r="N1347" i="1"/>
  <c r="G1347" i="1"/>
  <c r="A1347" i="1"/>
  <c r="AO1346" i="1"/>
  <c r="N1346" i="1"/>
  <c r="G1346" i="1"/>
  <c r="A1346" i="1"/>
  <c r="AO1345" i="1"/>
  <c r="N1345" i="1"/>
  <c r="G1345" i="1"/>
  <c r="A1345" i="1"/>
  <c r="AO1344" i="1"/>
  <c r="N1344" i="1"/>
  <c r="G1344" i="1"/>
  <c r="A1344" i="1"/>
  <c r="AO1343" i="1"/>
  <c r="N1343" i="1"/>
  <c r="G1343" i="1"/>
  <c r="A1343" i="1"/>
  <c r="AO1342" i="1"/>
  <c r="N1342" i="1"/>
  <c r="G1342" i="1"/>
  <c r="A1342" i="1"/>
  <c r="AO1341" i="1"/>
  <c r="N1341" i="1"/>
  <c r="G1341" i="1"/>
  <c r="A1341" i="1"/>
  <c r="AO1340" i="1"/>
  <c r="N1340" i="1"/>
  <c r="G1340" i="1"/>
  <c r="A1340" i="1"/>
  <c r="AO1339" i="1"/>
  <c r="N1339" i="1"/>
  <c r="G1339" i="1"/>
  <c r="A1339" i="1"/>
  <c r="AO1338" i="1"/>
  <c r="N1338" i="1"/>
  <c r="G1338" i="1"/>
  <c r="A1338" i="1"/>
  <c r="AO1337" i="1"/>
  <c r="N1337" i="1"/>
  <c r="G1337" i="1"/>
  <c r="A1337" i="1"/>
  <c r="AO1336" i="1"/>
  <c r="N1336" i="1"/>
  <c r="G1336" i="1"/>
  <c r="A1336" i="1"/>
  <c r="AO1335" i="1"/>
  <c r="N1335" i="1"/>
  <c r="G1335" i="1"/>
  <c r="A1335" i="1"/>
  <c r="AO1334" i="1"/>
  <c r="N1334" i="1"/>
  <c r="G1334" i="1"/>
  <c r="A1334" i="1"/>
  <c r="AO1333" i="1"/>
  <c r="N1333" i="1"/>
  <c r="G1333" i="1"/>
  <c r="A1333" i="1"/>
  <c r="AO1332" i="1"/>
  <c r="N1332" i="1"/>
  <c r="G1332" i="1"/>
  <c r="A1332" i="1"/>
  <c r="AO1331" i="1"/>
  <c r="N1331" i="1"/>
  <c r="G1331" i="1"/>
  <c r="A1331" i="1"/>
  <c r="AO1330" i="1"/>
  <c r="N1330" i="1"/>
  <c r="G1330" i="1"/>
  <c r="A1330" i="1"/>
  <c r="AO1329" i="1"/>
  <c r="N1329" i="1"/>
  <c r="G1329" i="1"/>
  <c r="A1329" i="1"/>
  <c r="AO1328" i="1"/>
  <c r="N1328" i="1"/>
  <c r="G1328" i="1"/>
  <c r="A1328" i="1"/>
  <c r="AO1327" i="1"/>
  <c r="N1327" i="1"/>
  <c r="G1327" i="1"/>
  <c r="A1327" i="1"/>
  <c r="AO1326" i="1"/>
  <c r="N1326" i="1"/>
  <c r="G1326" i="1"/>
  <c r="A1326" i="1"/>
  <c r="AO1325" i="1"/>
  <c r="N1325" i="1"/>
  <c r="G1325" i="1"/>
  <c r="A1325" i="1"/>
  <c r="AO1324" i="1"/>
  <c r="N1324" i="1"/>
  <c r="G1324" i="1"/>
  <c r="A1324" i="1"/>
  <c r="AO1323" i="1"/>
  <c r="N1323" i="1"/>
  <c r="G1323" i="1"/>
  <c r="A1323" i="1"/>
  <c r="AO1322" i="1"/>
  <c r="N1322" i="1"/>
  <c r="G1322" i="1"/>
  <c r="A1322" i="1"/>
  <c r="AO1321" i="1"/>
  <c r="N1321" i="1"/>
  <c r="G1321" i="1"/>
  <c r="A1321" i="1"/>
  <c r="AO1320" i="1"/>
  <c r="N1320" i="1"/>
  <c r="G1320" i="1"/>
  <c r="A1320" i="1"/>
  <c r="AO1319" i="1"/>
  <c r="N1319" i="1"/>
  <c r="G1319" i="1"/>
  <c r="A1319" i="1"/>
  <c r="AO1318" i="1"/>
  <c r="N1318" i="1"/>
  <c r="G1318" i="1"/>
  <c r="A1318" i="1"/>
  <c r="AO1317" i="1"/>
  <c r="N1317" i="1"/>
  <c r="G1317" i="1"/>
  <c r="A1317" i="1"/>
  <c r="AO1316" i="1"/>
  <c r="N1316" i="1"/>
  <c r="G1316" i="1"/>
  <c r="A1316" i="1"/>
  <c r="AO1315" i="1"/>
  <c r="N1315" i="1"/>
  <c r="G1315" i="1"/>
  <c r="A1315" i="1"/>
  <c r="AO1314" i="1"/>
  <c r="N1314" i="1"/>
  <c r="G1314" i="1"/>
  <c r="A1314" i="1"/>
  <c r="AO1313" i="1"/>
  <c r="N1313" i="1"/>
  <c r="G1313" i="1"/>
  <c r="A1313" i="1"/>
  <c r="AO1312" i="1"/>
  <c r="N1312" i="1"/>
  <c r="G1312" i="1"/>
  <c r="A1312" i="1"/>
  <c r="AO1311" i="1"/>
  <c r="N1311" i="1"/>
  <c r="G1311" i="1"/>
  <c r="A1311" i="1"/>
  <c r="AO1310" i="1"/>
  <c r="N1310" i="1"/>
  <c r="G1310" i="1"/>
  <c r="A1310" i="1"/>
  <c r="AO1309" i="1"/>
  <c r="N1309" i="1"/>
  <c r="G1309" i="1"/>
  <c r="A1309" i="1"/>
  <c r="AO1308" i="1"/>
  <c r="N1308" i="1"/>
  <c r="G1308" i="1"/>
  <c r="A1308" i="1"/>
  <c r="AO1307" i="1"/>
  <c r="N1307" i="1"/>
  <c r="G1307" i="1"/>
  <c r="A1307" i="1"/>
  <c r="AO1306" i="1"/>
  <c r="N1306" i="1"/>
  <c r="G1306" i="1"/>
  <c r="A1306" i="1"/>
  <c r="AO1305" i="1"/>
  <c r="N1305" i="1"/>
  <c r="G1305" i="1"/>
  <c r="A1305" i="1"/>
  <c r="AO1304" i="1"/>
  <c r="N1304" i="1"/>
  <c r="G1304" i="1"/>
  <c r="A1304" i="1"/>
  <c r="AO1303" i="1"/>
  <c r="N1303" i="1"/>
  <c r="G1303" i="1"/>
  <c r="A1303" i="1"/>
  <c r="AO1302" i="1"/>
  <c r="N1302" i="1"/>
  <c r="G1302" i="1"/>
  <c r="A1302" i="1"/>
  <c r="AO1301" i="1"/>
  <c r="N1301" i="1"/>
  <c r="G1301" i="1"/>
  <c r="A1301" i="1"/>
  <c r="AO1300" i="1"/>
  <c r="N1300" i="1"/>
  <c r="G1300" i="1"/>
  <c r="A1300" i="1"/>
  <c r="AO1299" i="1"/>
  <c r="N1299" i="1"/>
  <c r="G1299" i="1"/>
  <c r="A1299" i="1"/>
  <c r="AO1298" i="1"/>
  <c r="N1298" i="1"/>
  <c r="G1298" i="1"/>
  <c r="A1298" i="1"/>
  <c r="AO1297" i="1"/>
  <c r="N1297" i="1"/>
  <c r="G1297" i="1"/>
  <c r="A1297" i="1"/>
  <c r="AO1296" i="1"/>
  <c r="N1296" i="1"/>
  <c r="G1296" i="1"/>
  <c r="A1296" i="1"/>
  <c r="AO1295" i="1"/>
  <c r="N1295" i="1"/>
  <c r="G1295" i="1"/>
  <c r="A1295" i="1"/>
  <c r="AO1294" i="1"/>
  <c r="N1294" i="1"/>
  <c r="G1294" i="1"/>
  <c r="A1294" i="1"/>
  <c r="AO1293" i="1"/>
  <c r="N1293" i="1"/>
  <c r="G1293" i="1"/>
  <c r="A1293" i="1"/>
  <c r="AO1292" i="1"/>
  <c r="N1292" i="1"/>
  <c r="G1292" i="1"/>
  <c r="A1292" i="1"/>
  <c r="AO1291" i="1"/>
  <c r="N1291" i="1"/>
  <c r="G1291" i="1"/>
  <c r="A1291" i="1"/>
  <c r="AO1290" i="1"/>
  <c r="N1290" i="1"/>
  <c r="G1290" i="1"/>
  <c r="A1290" i="1"/>
  <c r="AO1289" i="1"/>
  <c r="N1289" i="1"/>
  <c r="G1289" i="1"/>
  <c r="A1289" i="1"/>
  <c r="AO1288" i="1"/>
  <c r="N1288" i="1"/>
  <c r="G1288" i="1"/>
  <c r="A1288" i="1"/>
  <c r="AO1287" i="1"/>
  <c r="N1287" i="1"/>
  <c r="G1287" i="1"/>
  <c r="A1287" i="1"/>
  <c r="AO1286" i="1"/>
  <c r="N1286" i="1"/>
  <c r="G1286" i="1"/>
  <c r="A1286" i="1"/>
  <c r="AO1285" i="1"/>
  <c r="N1285" i="1"/>
  <c r="G1285" i="1"/>
  <c r="A1285" i="1"/>
  <c r="AO1284" i="1"/>
  <c r="N1284" i="1"/>
  <c r="G1284" i="1"/>
  <c r="A1284" i="1"/>
  <c r="AO1283" i="1"/>
  <c r="N1283" i="1"/>
  <c r="G1283" i="1"/>
  <c r="A1283" i="1"/>
  <c r="AO1282" i="1"/>
  <c r="N1282" i="1"/>
  <c r="G1282" i="1"/>
  <c r="A1282" i="1"/>
  <c r="AO1281" i="1"/>
  <c r="N1281" i="1"/>
  <c r="G1281" i="1"/>
  <c r="A1281" i="1"/>
  <c r="AO1280" i="1"/>
  <c r="N1280" i="1"/>
  <c r="G1280" i="1"/>
  <c r="A1280" i="1"/>
  <c r="AO1279" i="1"/>
  <c r="N1279" i="1"/>
  <c r="G1279" i="1"/>
  <c r="A1279" i="1"/>
  <c r="AO1278" i="1"/>
  <c r="N1278" i="1"/>
  <c r="G1278" i="1"/>
  <c r="A1278" i="1"/>
  <c r="AO1277" i="1"/>
  <c r="N1277" i="1"/>
  <c r="G1277" i="1"/>
  <c r="A1277" i="1"/>
  <c r="AO1276" i="1"/>
  <c r="N1276" i="1"/>
  <c r="G1276" i="1"/>
  <c r="A1276" i="1"/>
  <c r="AO1275" i="1"/>
  <c r="N1275" i="1"/>
  <c r="G1275" i="1"/>
  <c r="A1275" i="1"/>
  <c r="AO1274" i="1"/>
  <c r="N1274" i="1"/>
  <c r="G1274" i="1"/>
  <c r="A1274" i="1"/>
  <c r="AO1273" i="1"/>
  <c r="N1273" i="1"/>
  <c r="G1273" i="1"/>
  <c r="A1273" i="1"/>
  <c r="AO1272" i="1"/>
  <c r="N1272" i="1"/>
  <c r="G1272" i="1"/>
  <c r="A1272" i="1"/>
  <c r="AO1271" i="1"/>
  <c r="N1271" i="1"/>
  <c r="G1271" i="1"/>
  <c r="A1271" i="1"/>
  <c r="AO1270" i="1"/>
  <c r="N1270" i="1"/>
  <c r="G1270" i="1"/>
  <c r="A1270" i="1"/>
  <c r="AO1269" i="1"/>
  <c r="N1269" i="1"/>
  <c r="G1269" i="1"/>
  <c r="A1269" i="1"/>
  <c r="AO1268" i="1"/>
  <c r="N1268" i="1"/>
  <c r="G1268" i="1"/>
  <c r="A1268" i="1"/>
  <c r="AO1267" i="1"/>
  <c r="N1267" i="1"/>
  <c r="G1267" i="1"/>
  <c r="A1267" i="1"/>
  <c r="AO1266" i="1"/>
  <c r="N1266" i="1"/>
  <c r="G1266" i="1"/>
  <c r="A1266" i="1"/>
  <c r="AO1265" i="1"/>
  <c r="N1265" i="1"/>
  <c r="G1265" i="1"/>
  <c r="A1265" i="1"/>
  <c r="AO1264" i="1"/>
  <c r="N1264" i="1"/>
  <c r="G1264" i="1"/>
  <c r="A1264" i="1"/>
  <c r="AO1263" i="1"/>
  <c r="N1263" i="1"/>
  <c r="G1263" i="1"/>
  <c r="A1263" i="1"/>
  <c r="AO1262" i="1"/>
  <c r="N1262" i="1"/>
  <c r="G1262" i="1"/>
  <c r="A1262" i="1"/>
  <c r="AO1261" i="1"/>
  <c r="N1261" i="1"/>
  <c r="G1261" i="1"/>
  <c r="A1261" i="1"/>
  <c r="AO1260" i="1"/>
  <c r="N1260" i="1"/>
  <c r="G1260" i="1"/>
  <c r="A1260" i="1"/>
  <c r="AO1259" i="1"/>
  <c r="N1259" i="1"/>
  <c r="G1259" i="1"/>
  <c r="A1259" i="1"/>
  <c r="AO1258" i="1"/>
  <c r="N1258" i="1"/>
  <c r="G1258" i="1"/>
  <c r="A1258" i="1"/>
  <c r="AO1257" i="1"/>
  <c r="N1257" i="1"/>
  <c r="G1257" i="1"/>
  <c r="A1257" i="1"/>
  <c r="AO1256" i="1"/>
  <c r="N1256" i="1"/>
  <c r="G1256" i="1"/>
  <c r="A1256" i="1"/>
  <c r="AO1255" i="1"/>
  <c r="N1255" i="1"/>
  <c r="G1255" i="1"/>
  <c r="A1255" i="1"/>
  <c r="AO1254" i="1"/>
  <c r="N1254" i="1"/>
  <c r="G1254" i="1"/>
  <c r="A1254" i="1"/>
  <c r="AO1253" i="1"/>
  <c r="N1253" i="1"/>
  <c r="G1253" i="1"/>
  <c r="A1253" i="1"/>
  <c r="AO1252" i="1"/>
  <c r="N1252" i="1"/>
  <c r="G1252" i="1"/>
  <c r="A1252" i="1"/>
  <c r="AO1251" i="1"/>
  <c r="N1251" i="1"/>
  <c r="G1251" i="1"/>
  <c r="A1251" i="1"/>
  <c r="AO1250" i="1"/>
  <c r="N1250" i="1"/>
  <c r="G1250" i="1"/>
  <c r="A1250" i="1"/>
  <c r="AO1249" i="1"/>
  <c r="N1249" i="1"/>
  <c r="G1249" i="1"/>
  <c r="A1249" i="1"/>
  <c r="AO1248" i="1"/>
  <c r="N1248" i="1"/>
  <c r="G1248" i="1"/>
  <c r="A1248" i="1"/>
  <c r="AO1247" i="1"/>
  <c r="N1247" i="1"/>
  <c r="G1247" i="1"/>
  <c r="A1247" i="1"/>
  <c r="AO1246" i="1"/>
  <c r="N1246" i="1"/>
  <c r="G1246" i="1"/>
  <c r="A1246" i="1"/>
  <c r="AO1245" i="1"/>
  <c r="N1245" i="1"/>
  <c r="G1245" i="1"/>
  <c r="A1245" i="1"/>
  <c r="AO1244" i="1"/>
  <c r="N1244" i="1"/>
  <c r="G1244" i="1"/>
  <c r="A1244" i="1"/>
  <c r="AO1243" i="1"/>
  <c r="N1243" i="1"/>
  <c r="G1243" i="1"/>
  <c r="A1243" i="1"/>
  <c r="AO1242" i="1"/>
  <c r="N1242" i="1"/>
  <c r="G1242" i="1"/>
  <c r="A1242" i="1"/>
  <c r="AO1241" i="1"/>
  <c r="N1241" i="1"/>
  <c r="G1241" i="1"/>
  <c r="A1241" i="1"/>
  <c r="AO1240" i="1"/>
  <c r="N1240" i="1"/>
  <c r="G1240" i="1"/>
  <c r="A1240" i="1"/>
  <c r="AO1239" i="1"/>
  <c r="N1239" i="1"/>
  <c r="G1239" i="1"/>
  <c r="A1239" i="1"/>
  <c r="AO1238" i="1"/>
  <c r="N1238" i="1"/>
  <c r="G1238" i="1"/>
  <c r="A1238" i="1"/>
  <c r="AO1237" i="1"/>
  <c r="N1237" i="1"/>
  <c r="G1237" i="1"/>
  <c r="A1237" i="1"/>
  <c r="AO1236" i="1"/>
  <c r="N1236" i="1"/>
  <c r="G1236" i="1"/>
  <c r="A1236" i="1"/>
  <c r="AO1235" i="1"/>
  <c r="N1235" i="1"/>
  <c r="G1235" i="1"/>
  <c r="A1235" i="1"/>
  <c r="AO1234" i="1"/>
  <c r="N1234" i="1"/>
  <c r="G1234" i="1"/>
  <c r="A1234" i="1"/>
  <c r="AO1233" i="1"/>
  <c r="N1233" i="1"/>
  <c r="G1233" i="1"/>
  <c r="A1233" i="1"/>
  <c r="AO1232" i="1"/>
  <c r="N1232" i="1"/>
  <c r="G1232" i="1"/>
  <c r="A1232" i="1"/>
  <c r="AO1231" i="1"/>
  <c r="N1231" i="1"/>
  <c r="G1231" i="1"/>
  <c r="A1231" i="1"/>
  <c r="AO1230" i="1"/>
  <c r="N1230" i="1"/>
  <c r="G1230" i="1"/>
  <c r="A1230" i="1"/>
  <c r="AO1229" i="1"/>
  <c r="N1229" i="1"/>
  <c r="G1229" i="1"/>
  <c r="A1229" i="1"/>
  <c r="AO1228" i="1"/>
  <c r="N1228" i="1"/>
  <c r="G1228" i="1"/>
  <c r="A1228" i="1"/>
  <c r="AO1227" i="1"/>
  <c r="N1227" i="1"/>
  <c r="G1227" i="1"/>
  <c r="A1227" i="1"/>
  <c r="AO1226" i="1"/>
  <c r="N1226" i="1"/>
  <c r="G1226" i="1"/>
  <c r="A1226" i="1"/>
  <c r="AO1225" i="1"/>
  <c r="N1225" i="1"/>
  <c r="G1225" i="1"/>
  <c r="A1225" i="1"/>
  <c r="AO1224" i="1"/>
  <c r="N1224" i="1"/>
  <c r="G1224" i="1"/>
  <c r="A1224" i="1"/>
  <c r="AO1223" i="1"/>
  <c r="N1223" i="1"/>
  <c r="G1223" i="1"/>
  <c r="A1223" i="1"/>
  <c r="AO1222" i="1"/>
  <c r="N1222" i="1"/>
  <c r="G1222" i="1"/>
  <c r="A1222" i="1"/>
  <c r="AO1221" i="1"/>
  <c r="N1221" i="1"/>
  <c r="G1221" i="1"/>
  <c r="A1221" i="1"/>
  <c r="AO1220" i="1"/>
  <c r="N1220" i="1"/>
  <c r="G1220" i="1"/>
  <c r="A1220" i="1"/>
  <c r="AO1219" i="1"/>
  <c r="N1219" i="1"/>
  <c r="G1219" i="1"/>
  <c r="A1219" i="1"/>
  <c r="AO1218" i="1"/>
  <c r="N1218" i="1"/>
  <c r="G1218" i="1"/>
  <c r="A1218" i="1"/>
  <c r="AO1217" i="1"/>
  <c r="N1217" i="1"/>
  <c r="G1217" i="1"/>
  <c r="A1217" i="1"/>
  <c r="AO1216" i="1"/>
  <c r="N1216" i="1"/>
  <c r="G1216" i="1"/>
  <c r="A1216" i="1"/>
  <c r="AO1215" i="1"/>
  <c r="N1215" i="1"/>
  <c r="G1215" i="1"/>
  <c r="A1215" i="1"/>
  <c r="AO1214" i="1"/>
  <c r="N1214" i="1"/>
  <c r="G1214" i="1"/>
  <c r="A1214" i="1"/>
  <c r="AO1213" i="1"/>
  <c r="N1213" i="1"/>
  <c r="G1213" i="1"/>
  <c r="A1213" i="1"/>
  <c r="AO1212" i="1"/>
  <c r="N1212" i="1"/>
  <c r="G1212" i="1"/>
  <c r="A1212" i="1"/>
  <c r="AO1211" i="1"/>
  <c r="N1211" i="1"/>
  <c r="G1211" i="1"/>
  <c r="A1211" i="1"/>
  <c r="AO1210" i="1"/>
  <c r="N1210" i="1"/>
  <c r="G1210" i="1"/>
  <c r="A1210" i="1"/>
  <c r="AO1209" i="1"/>
  <c r="N1209" i="1"/>
  <c r="G1209" i="1"/>
  <c r="A1209" i="1"/>
  <c r="AO1208" i="1"/>
  <c r="N1208" i="1"/>
  <c r="G1208" i="1"/>
  <c r="A1208" i="1"/>
  <c r="AO1207" i="1"/>
  <c r="N1207" i="1"/>
  <c r="G1207" i="1"/>
  <c r="A1207" i="1"/>
  <c r="AO1206" i="1"/>
  <c r="N1206" i="1"/>
  <c r="G1206" i="1"/>
  <c r="A1206" i="1"/>
  <c r="AO1205" i="1"/>
  <c r="N1205" i="1"/>
  <c r="G1205" i="1"/>
  <c r="A1205" i="1"/>
  <c r="AO1204" i="1"/>
  <c r="N1204" i="1"/>
  <c r="G1204" i="1"/>
  <c r="A1204" i="1"/>
  <c r="AO1203" i="1"/>
  <c r="N1203" i="1"/>
  <c r="G1203" i="1"/>
  <c r="A1203" i="1"/>
  <c r="AO1202" i="1"/>
  <c r="N1202" i="1"/>
  <c r="G1202" i="1"/>
  <c r="A1202" i="1"/>
  <c r="AO1201" i="1"/>
  <c r="N1201" i="1"/>
  <c r="G1201" i="1"/>
  <c r="A1201" i="1"/>
  <c r="AO1200" i="1"/>
  <c r="N1200" i="1"/>
  <c r="G1200" i="1"/>
  <c r="A1200" i="1"/>
  <c r="AO1199" i="1"/>
  <c r="N1199" i="1"/>
  <c r="G1199" i="1"/>
  <c r="A1199" i="1"/>
  <c r="AO1198" i="1"/>
  <c r="N1198" i="1"/>
  <c r="G1198" i="1"/>
  <c r="A1198" i="1"/>
  <c r="AO1197" i="1"/>
  <c r="N1197" i="1"/>
  <c r="G1197" i="1"/>
  <c r="A1197" i="1"/>
  <c r="AO1196" i="1"/>
  <c r="N1196" i="1"/>
  <c r="G1196" i="1"/>
  <c r="A1196" i="1"/>
  <c r="AO1195" i="1"/>
  <c r="N1195" i="1"/>
  <c r="G1195" i="1"/>
  <c r="A1195" i="1"/>
  <c r="AO1194" i="1"/>
  <c r="N1194" i="1"/>
  <c r="G1194" i="1"/>
  <c r="A1194" i="1"/>
  <c r="AO1193" i="1"/>
  <c r="N1193" i="1"/>
  <c r="G1193" i="1"/>
  <c r="A1193" i="1"/>
  <c r="AO1192" i="1"/>
  <c r="N1192" i="1"/>
  <c r="G1192" i="1"/>
  <c r="A1192" i="1"/>
  <c r="AO1191" i="1"/>
  <c r="N1191" i="1"/>
  <c r="G1191" i="1"/>
  <c r="A1191" i="1"/>
  <c r="AO1190" i="1"/>
  <c r="N1190" i="1"/>
  <c r="G1190" i="1"/>
  <c r="A1190" i="1"/>
  <c r="AO1189" i="1"/>
  <c r="N1189" i="1"/>
  <c r="G1189" i="1"/>
  <c r="A1189" i="1"/>
  <c r="AO1188" i="1"/>
  <c r="N1188" i="1"/>
  <c r="G1188" i="1"/>
  <c r="A1188" i="1"/>
  <c r="AO1187" i="1"/>
  <c r="N1187" i="1"/>
  <c r="G1187" i="1"/>
  <c r="A1187" i="1"/>
  <c r="AO1186" i="1"/>
  <c r="N1186" i="1"/>
  <c r="G1186" i="1"/>
  <c r="A1186" i="1"/>
  <c r="AO1185" i="1"/>
  <c r="N1185" i="1"/>
  <c r="G1185" i="1"/>
  <c r="A1185" i="1"/>
  <c r="AO1184" i="1"/>
  <c r="N1184" i="1"/>
  <c r="G1184" i="1"/>
  <c r="A1184" i="1"/>
  <c r="AO1183" i="1"/>
  <c r="N1183" i="1"/>
  <c r="G1183" i="1"/>
  <c r="A1183" i="1"/>
  <c r="AO1182" i="1"/>
  <c r="N1182" i="1"/>
  <c r="G1182" i="1"/>
  <c r="A1182" i="1"/>
  <c r="AO1181" i="1"/>
  <c r="N1181" i="1"/>
  <c r="G1181" i="1"/>
  <c r="A1181" i="1"/>
  <c r="AO1180" i="1"/>
  <c r="N1180" i="1"/>
  <c r="G1180" i="1"/>
  <c r="A1180" i="1"/>
  <c r="AO1179" i="1"/>
  <c r="N1179" i="1"/>
  <c r="G1179" i="1"/>
  <c r="A1179" i="1"/>
  <c r="AO1178" i="1"/>
  <c r="N1178" i="1"/>
  <c r="G1178" i="1"/>
  <c r="A1178" i="1"/>
  <c r="AO1177" i="1"/>
  <c r="N1177" i="1"/>
  <c r="G1177" i="1"/>
  <c r="A1177" i="1"/>
  <c r="AO1176" i="1"/>
  <c r="N1176" i="1"/>
  <c r="G1176" i="1"/>
  <c r="A1176" i="1"/>
  <c r="AO1175" i="1"/>
  <c r="N1175" i="1"/>
  <c r="G1175" i="1"/>
  <c r="A1175" i="1"/>
  <c r="AO1174" i="1"/>
  <c r="N1174" i="1"/>
  <c r="G1174" i="1"/>
  <c r="A1174" i="1"/>
  <c r="AO1173" i="1"/>
  <c r="N1173" i="1"/>
  <c r="G1173" i="1"/>
  <c r="A1173" i="1"/>
  <c r="AO1172" i="1"/>
  <c r="N1172" i="1"/>
  <c r="G1172" i="1"/>
  <c r="A1172" i="1"/>
  <c r="AO1171" i="1"/>
  <c r="N1171" i="1"/>
  <c r="G1171" i="1"/>
  <c r="A1171" i="1"/>
  <c r="AO1170" i="1"/>
  <c r="N1170" i="1"/>
  <c r="G1170" i="1"/>
  <c r="A1170" i="1"/>
  <c r="AO1169" i="1"/>
  <c r="N1169" i="1"/>
  <c r="G1169" i="1"/>
  <c r="A1169" i="1"/>
  <c r="AO1168" i="1"/>
  <c r="N1168" i="1"/>
  <c r="G1168" i="1"/>
  <c r="A1168" i="1"/>
  <c r="AO1167" i="1"/>
  <c r="N1167" i="1"/>
  <c r="G1167" i="1"/>
  <c r="A1167" i="1"/>
  <c r="AO1166" i="1"/>
  <c r="N1166" i="1"/>
  <c r="G1166" i="1"/>
  <c r="A1166" i="1"/>
  <c r="AO1165" i="1"/>
  <c r="N1165" i="1"/>
  <c r="G1165" i="1"/>
  <c r="A1165" i="1"/>
  <c r="AO1164" i="1"/>
  <c r="N1164" i="1"/>
  <c r="G1164" i="1"/>
  <c r="A1164" i="1"/>
  <c r="AO1163" i="1"/>
  <c r="N1163" i="1"/>
  <c r="G1163" i="1"/>
  <c r="A1163" i="1"/>
  <c r="AO1162" i="1"/>
  <c r="N1162" i="1"/>
  <c r="G1162" i="1"/>
  <c r="A1162" i="1"/>
  <c r="AO1161" i="1"/>
  <c r="N1161" i="1"/>
  <c r="G1161" i="1"/>
  <c r="A1161" i="1"/>
  <c r="AO1160" i="1"/>
  <c r="N1160" i="1"/>
  <c r="G1160" i="1"/>
  <c r="A1160" i="1"/>
  <c r="AO1159" i="1"/>
  <c r="N1159" i="1"/>
  <c r="G1159" i="1"/>
  <c r="A1159" i="1"/>
  <c r="AO1158" i="1"/>
  <c r="N1158" i="1"/>
  <c r="G1158" i="1"/>
  <c r="A1158" i="1"/>
  <c r="AO1157" i="1"/>
  <c r="N1157" i="1"/>
  <c r="G1157" i="1"/>
  <c r="A1157" i="1"/>
  <c r="AO1156" i="1"/>
  <c r="N1156" i="1"/>
  <c r="G1156" i="1"/>
  <c r="A1156" i="1"/>
  <c r="AO1155" i="1"/>
  <c r="N1155" i="1"/>
  <c r="G1155" i="1"/>
  <c r="A1155" i="1"/>
  <c r="AO1154" i="1"/>
  <c r="N1154" i="1"/>
  <c r="G1154" i="1"/>
  <c r="A1154" i="1"/>
  <c r="AO1153" i="1"/>
  <c r="N1153" i="1"/>
  <c r="G1153" i="1"/>
  <c r="A1153" i="1"/>
  <c r="AO1152" i="1"/>
  <c r="N1152" i="1"/>
  <c r="G1152" i="1"/>
  <c r="A1152" i="1"/>
  <c r="AO1151" i="1"/>
  <c r="N1151" i="1"/>
  <c r="G1151" i="1"/>
  <c r="A1151" i="1"/>
  <c r="AO1150" i="1"/>
  <c r="N1150" i="1"/>
  <c r="G1150" i="1"/>
  <c r="A1150" i="1"/>
  <c r="AO1149" i="1"/>
  <c r="N1149" i="1"/>
  <c r="G1149" i="1"/>
  <c r="A1149" i="1"/>
  <c r="AO1148" i="1"/>
  <c r="N1148" i="1"/>
  <c r="G1148" i="1"/>
  <c r="A1148" i="1"/>
  <c r="AO1147" i="1"/>
  <c r="N1147" i="1"/>
  <c r="G1147" i="1"/>
  <c r="A1147" i="1"/>
  <c r="AO1146" i="1"/>
  <c r="N1146" i="1"/>
  <c r="G1146" i="1"/>
  <c r="A1146" i="1"/>
  <c r="AO1145" i="1"/>
  <c r="N1145" i="1"/>
  <c r="G1145" i="1"/>
  <c r="A1145" i="1"/>
  <c r="AO1144" i="1"/>
  <c r="N1144" i="1"/>
  <c r="G1144" i="1"/>
  <c r="A1144" i="1"/>
  <c r="AO1143" i="1"/>
  <c r="N1143" i="1"/>
  <c r="G1143" i="1"/>
  <c r="A1143" i="1"/>
  <c r="AO1142" i="1"/>
  <c r="N1142" i="1"/>
  <c r="G1142" i="1"/>
  <c r="A1142" i="1"/>
  <c r="AO1141" i="1"/>
  <c r="N1141" i="1"/>
  <c r="G1141" i="1"/>
  <c r="A1141" i="1"/>
  <c r="AO1140" i="1"/>
  <c r="N1140" i="1"/>
  <c r="G1140" i="1"/>
  <c r="A1140" i="1"/>
  <c r="AO1139" i="1"/>
  <c r="N1139" i="1"/>
  <c r="G1139" i="1"/>
  <c r="A1139" i="1"/>
  <c r="AO1138" i="1"/>
  <c r="N1138" i="1"/>
  <c r="G1138" i="1"/>
  <c r="A1138" i="1"/>
  <c r="AO1137" i="1"/>
  <c r="N1137" i="1"/>
  <c r="G1137" i="1"/>
  <c r="A1137" i="1"/>
  <c r="AO1136" i="1"/>
  <c r="N1136" i="1"/>
  <c r="G1136" i="1"/>
  <c r="A1136" i="1"/>
  <c r="AO1135" i="1"/>
  <c r="N1135" i="1"/>
  <c r="G1135" i="1"/>
  <c r="A1135" i="1"/>
  <c r="AO1134" i="1"/>
  <c r="N1134" i="1"/>
  <c r="G1134" i="1"/>
  <c r="A1134" i="1"/>
  <c r="AO1133" i="1"/>
  <c r="N1133" i="1"/>
  <c r="G1133" i="1"/>
  <c r="A1133" i="1"/>
  <c r="AO1132" i="1"/>
  <c r="N1132" i="1"/>
  <c r="G1132" i="1"/>
  <c r="A1132" i="1"/>
  <c r="AO1131" i="1"/>
  <c r="N1131" i="1"/>
  <c r="G1131" i="1"/>
  <c r="A1131" i="1"/>
  <c r="AO1130" i="1"/>
  <c r="N1130" i="1"/>
  <c r="G1130" i="1"/>
  <c r="A1130" i="1"/>
  <c r="AO1129" i="1"/>
  <c r="N1129" i="1"/>
  <c r="G1129" i="1"/>
  <c r="A1129" i="1"/>
  <c r="AO1128" i="1"/>
  <c r="N1128" i="1"/>
  <c r="G1128" i="1"/>
  <c r="A1128" i="1"/>
  <c r="AO1127" i="1"/>
  <c r="N1127" i="1"/>
  <c r="G1127" i="1"/>
  <c r="A1127" i="1"/>
  <c r="AO1126" i="1"/>
  <c r="N1126" i="1"/>
  <c r="G1126" i="1"/>
  <c r="A1126" i="1"/>
  <c r="AO1125" i="1"/>
  <c r="N1125" i="1"/>
  <c r="G1125" i="1"/>
  <c r="A1125" i="1"/>
  <c r="AO1124" i="1"/>
  <c r="N1124" i="1"/>
  <c r="G1124" i="1"/>
  <c r="A1124" i="1"/>
  <c r="AO1123" i="1"/>
  <c r="N1123" i="1"/>
  <c r="G1123" i="1"/>
  <c r="A1123" i="1"/>
  <c r="AO1122" i="1"/>
  <c r="N1122" i="1"/>
  <c r="G1122" i="1"/>
  <c r="A1122" i="1"/>
  <c r="AO1121" i="1"/>
  <c r="N1121" i="1"/>
  <c r="G1121" i="1"/>
  <c r="A1121" i="1"/>
  <c r="AO1120" i="1"/>
  <c r="N1120" i="1"/>
  <c r="G1120" i="1"/>
  <c r="A1120" i="1"/>
  <c r="AO1119" i="1"/>
  <c r="N1119" i="1"/>
  <c r="G1119" i="1"/>
  <c r="A1119" i="1"/>
  <c r="AO1118" i="1"/>
  <c r="N1118" i="1"/>
  <c r="G1118" i="1"/>
  <c r="A1118" i="1"/>
  <c r="AO1117" i="1"/>
  <c r="N1117" i="1"/>
  <c r="G1117" i="1"/>
  <c r="A1117" i="1"/>
  <c r="AO1116" i="1"/>
  <c r="N1116" i="1"/>
  <c r="G1116" i="1"/>
  <c r="A1116" i="1"/>
  <c r="AO1115" i="1"/>
  <c r="N1115" i="1"/>
  <c r="G1115" i="1"/>
  <c r="A1115" i="1"/>
  <c r="AO1114" i="1"/>
  <c r="N1114" i="1"/>
  <c r="G1114" i="1"/>
  <c r="A1114" i="1"/>
  <c r="AO1113" i="1"/>
  <c r="N1113" i="1"/>
  <c r="G1113" i="1"/>
  <c r="A1113" i="1"/>
  <c r="AO1112" i="1"/>
  <c r="N1112" i="1"/>
  <c r="G1112" i="1"/>
  <c r="A1112" i="1"/>
  <c r="AO1111" i="1"/>
  <c r="N1111" i="1"/>
  <c r="G1111" i="1"/>
  <c r="A1111" i="1"/>
  <c r="AO1110" i="1"/>
  <c r="N1110" i="1"/>
  <c r="G1110" i="1"/>
  <c r="A1110" i="1"/>
  <c r="AO1109" i="1"/>
  <c r="N1109" i="1"/>
  <c r="G1109" i="1"/>
  <c r="A1109" i="1"/>
  <c r="AO1108" i="1"/>
  <c r="N1108" i="1"/>
  <c r="G1108" i="1"/>
  <c r="A1108" i="1"/>
  <c r="AO1107" i="1"/>
  <c r="N1107" i="1"/>
  <c r="G1107" i="1"/>
  <c r="A1107" i="1"/>
  <c r="AO1106" i="1"/>
  <c r="N1106" i="1"/>
  <c r="G1106" i="1"/>
  <c r="A1106" i="1"/>
  <c r="AO1105" i="1"/>
  <c r="N1105" i="1"/>
  <c r="G1105" i="1"/>
  <c r="A1105" i="1"/>
  <c r="AO1104" i="1"/>
  <c r="N1104" i="1"/>
  <c r="G1104" i="1"/>
  <c r="A1104" i="1"/>
  <c r="AO1103" i="1"/>
  <c r="N1103" i="1"/>
  <c r="G1103" i="1"/>
  <c r="A1103" i="1"/>
  <c r="AO1102" i="1"/>
  <c r="N1102" i="1"/>
  <c r="G1102" i="1"/>
  <c r="A1102" i="1"/>
  <c r="AO1101" i="1"/>
  <c r="N1101" i="1"/>
  <c r="G1101" i="1"/>
  <c r="A1101" i="1"/>
  <c r="AO1100" i="1"/>
  <c r="N1100" i="1"/>
  <c r="G1100" i="1"/>
  <c r="A1100" i="1"/>
  <c r="AO1099" i="1"/>
  <c r="N1099" i="1"/>
  <c r="G1099" i="1"/>
  <c r="A1099" i="1"/>
  <c r="AO1098" i="1"/>
  <c r="N1098" i="1"/>
  <c r="G1098" i="1"/>
  <c r="A1098" i="1"/>
  <c r="AO1097" i="1"/>
  <c r="N1097" i="1"/>
  <c r="G1097" i="1"/>
  <c r="A1097" i="1"/>
  <c r="AO1096" i="1"/>
  <c r="N1096" i="1"/>
  <c r="G1096" i="1"/>
  <c r="A1096" i="1"/>
  <c r="AO1095" i="1"/>
  <c r="N1095" i="1"/>
  <c r="G1095" i="1"/>
  <c r="A1095" i="1"/>
  <c r="AO1094" i="1"/>
  <c r="N1094" i="1"/>
  <c r="G1094" i="1"/>
  <c r="A1094" i="1"/>
  <c r="AO1093" i="1"/>
  <c r="N1093" i="1"/>
  <c r="G1093" i="1"/>
  <c r="A1093" i="1"/>
  <c r="AO1092" i="1"/>
  <c r="N1092" i="1"/>
  <c r="G1092" i="1"/>
  <c r="A1092" i="1"/>
  <c r="AO1091" i="1"/>
  <c r="N1091" i="1"/>
  <c r="G1091" i="1"/>
  <c r="A1091" i="1"/>
  <c r="AO1090" i="1"/>
  <c r="N1090" i="1"/>
  <c r="G1090" i="1"/>
  <c r="A1090" i="1"/>
  <c r="AO1089" i="1"/>
  <c r="N1089" i="1"/>
  <c r="G1089" i="1"/>
  <c r="A1089" i="1"/>
  <c r="AO1088" i="1"/>
  <c r="N1088" i="1"/>
  <c r="G1088" i="1"/>
  <c r="A1088" i="1"/>
  <c r="AO1087" i="1"/>
  <c r="N1087" i="1"/>
  <c r="G1087" i="1"/>
  <c r="A1087" i="1"/>
  <c r="AO1086" i="1"/>
  <c r="N1086" i="1"/>
  <c r="G1086" i="1"/>
  <c r="A1086" i="1"/>
  <c r="AO1085" i="1"/>
  <c r="N1085" i="1"/>
  <c r="G1085" i="1"/>
  <c r="A1085" i="1"/>
  <c r="AO1084" i="1"/>
  <c r="N1084" i="1"/>
  <c r="G1084" i="1"/>
  <c r="A1084" i="1"/>
  <c r="AO1083" i="1"/>
  <c r="N1083" i="1"/>
  <c r="G1083" i="1"/>
  <c r="A1083" i="1"/>
  <c r="AO1082" i="1"/>
  <c r="N1082" i="1"/>
  <c r="G1082" i="1"/>
  <c r="A1082" i="1"/>
  <c r="AO1081" i="1"/>
  <c r="N1081" i="1"/>
  <c r="G1081" i="1"/>
  <c r="A1081" i="1"/>
  <c r="AO1080" i="1"/>
  <c r="N1080" i="1"/>
  <c r="G1080" i="1"/>
  <c r="A1080" i="1"/>
  <c r="AO1079" i="1"/>
  <c r="N1079" i="1"/>
  <c r="G1079" i="1"/>
  <c r="A1079" i="1"/>
  <c r="AO1078" i="1"/>
  <c r="N1078" i="1"/>
  <c r="G1078" i="1"/>
  <c r="A1078" i="1"/>
  <c r="AO1077" i="1"/>
  <c r="N1077" i="1"/>
  <c r="G1077" i="1"/>
  <c r="A1077" i="1"/>
  <c r="AO1076" i="1"/>
  <c r="N1076" i="1"/>
  <c r="G1076" i="1"/>
  <c r="A1076" i="1"/>
  <c r="AO1075" i="1"/>
  <c r="N1075" i="1"/>
  <c r="G1075" i="1"/>
  <c r="A1075" i="1"/>
  <c r="AO1074" i="1"/>
  <c r="N1074" i="1"/>
  <c r="G1074" i="1"/>
  <c r="A1074" i="1"/>
  <c r="AO1073" i="1"/>
  <c r="N1073" i="1"/>
  <c r="G1073" i="1"/>
  <c r="A1073" i="1"/>
  <c r="AO1072" i="1"/>
  <c r="N1072" i="1"/>
  <c r="G1072" i="1"/>
  <c r="A1072" i="1"/>
  <c r="AO1071" i="1"/>
  <c r="N1071" i="1"/>
  <c r="G1071" i="1"/>
  <c r="A1071" i="1"/>
  <c r="AO1070" i="1"/>
  <c r="N1070" i="1"/>
  <c r="G1070" i="1"/>
  <c r="A1070" i="1"/>
  <c r="AO1069" i="1"/>
  <c r="N1069" i="1"/>
  <c r="G1069" i="1"/>
  <c r="A1069" i="1"/>
  <c r="AO1068" i="1"/>
  <c r="N1068" i="1"/>
  <c r="G1068" i="1"/>
  <c r="A1068" i="1"/>
  <c r="AO1067" i="1"/>
  <c r="N1067" i="1"/>
  <c r="G1067" i="1"/>
  <c r="A1067" i="1"/>
  <c r="AO1066" i="1"/>
  <c r="N1066" i="1"/>
  <c r="G1066" i="1"/>
  <c r="A1066" i="1"/>
  <c r="AO1065" i="1"/>
  <c r="N1065" i="1"/>
  <c r="G1065" i="1"/>
  <c r="A1065" i="1"/>
  <c r="AO1064" i="1"/>
  <c r="N1064" i="1"/>
  <c r="G1064" i="1"/>
  <c r="A1064" i="1"/>
  <c r="AO1063" i="1"/>
  <c r="N1063" i="1"/>
  <c r="G1063" i="1"/>
  <c r="A1063" i="1"/>
  <c r="AO1062" i="1"/>
  <c r="N1062" i="1"/>
  <c r="G1062" i="1"/>
  <c r="A1062" i="1"/>
  <c r="AO1061" i="1"/>
  <c r="N1061" i="1"/>
  <c r="G1061" i="1"/>
  <c r="A1061" i="1"/>
  <c r="AO1060" i="1"/>
  <c r="N1060" i="1"/>
  <c r="G1060" i="1"/>
  <c r="A1060" i="1"/>
  <c r="AO1059" i="1"/>
  <c r="N1059" i="1"/>
  <c r="G1059" i="1"/>
  <c r="A1059" i="1"/>
  <c r="AO1058" i="1"/>
  <c r="N1058" i="1"/>
  <c r="G1058" i="1"/>
  <c r="A1058" i="1"/>
  <c r="AO1057" i="1"/>
  <c r="N1057" i="1"/>
  <c r="G1057" i="1"/>
  <c r="A1057" i="1"/>
  <c r="AO1056" i="1"/>
  <c r="N1056" i="1"/>
  <c r="G1056" i="1"/>
  <c r="A1056" i="1"/>
  <c r="AO1055" i="1"/>
  <c r="N1055" i="1"/>
  <c r="G1055" i="1"/>
  <c r="A1055" i="1"/>
  <c r="AO1054" i="1"/>
  <c r="N1054" i="1"/>
  <c r="G1054" i="1"/>
  <c r="A1054" i="1"/>
  <c r="AO1053" i="1"/>
  <c r="N1053" i="1"/>
  <c r="G1053" i="1"/>
  <c r="A1053" i="1"/>
  <c r="AO1052" i="1"/>
  <c r="N1052" i="1"/>
  <c r="G1052" i="1"/>
  <c r="A1052" i="1"/>
  <c r="AO1051" i="1"/>
  <c r="N1051" i="1"/>
  <c r="G1051" i="1"/>
  <c r="A1051" i="1"/>
  <c r="AO1050" i="1"/>
  <c r="N1050" i="1"/>
  <c r="G1050" i="1"/>
  <c r="A1050" i="1"/>
  <c r="AO1049" i="1"/>
  <c r="N1049" i="1"/>
  <c r="G1049" i="1"/>
  <c r="A1049" i="1"/>
  <c r="AO1048" i="1"/>
  <c r="N1048" i="1"/>
  <c r="G1048" i="1"/>
  <c r="A1048" i="1"/>
  <c r="AO1047" i="1"/>
  <c r="N1047" i="1"/>
  <c r="G1047" i="1"/>
  <c r="A1047" i="1"/>
  <c r="AO1046" i="1"/>
  <c r="N1046" i="1"/>
  <c r="G1046" i="1"/>
  <c r="A1046" i="1"/>
  <c r="AO1045" i="1"/>
  <c r="N1045" i="1"/>
  <c r="G1045" i="1"/>
  <c r="A1045" i="1"/>
  <c r="AO1044" i="1"/>
  <c r="N1044" i="1"/>
  <c r="G1044" i="1"/>
  <c r="A1044" i="1"/>
  <c r="AO1043" i="1"/>
  <c r="N1043" i="1"/>
  <c r="G1043" i="1"/>
  <c r="A1043" i="1"/>
  <c r="AO1042" i="1"/>
  <c r="N1042" i="1"/>
  <c r="G1042" i="1"/>
  <c r="A1042" i="1"/>
  <c r="AO1041" i="1"/>
  <c r="N1041" i="1"/>
  <c r="G1041" i="1"/>
  <c r="A1041" i="1"/>
  <c r="AO1040" i="1"/>
  <c r="N1040" i="1"/>
  <c r="G1040" i="1"/>
  <c r="A1040" i="1"/>
  <c r="AO1039" i="1"/>
  <c r="N1039" i="1"/>
  <c r="G1039" i="1"/>
  <c r="A1039" i="1"/>
  <c r="AO1038" i="1"/>
  <c r="N1038" i="1"/>
  <c r="G1038" i="1"/>
  <c r="A1038" i="1"/>
  <c r="AO1037" i="1"/>
  <c r="N1037" i="1"/>
  <c r="G1037" i="1"/>
  <c r="A1037" i="1"/>
  <c r="AO1036" i="1"/>
  <c r="N1036" i="1"/>
  <c r="G1036" i="1"/>
  <c r="A1036" i="1"/>
  <c r="AO1035" i="1"/>
  <c r="N1035" i="1"/>
  <c r="G1035" i="1"/>
  <c r="A1035" i="1"/>
  <c r="AO1034" i="1"/>
  <c r="N1034" i="1"/>
  <c r="G1034" i="1"/>
  <c r="A1034" i="1"/>
  <c r="AO1033" i="1"/>
  <c r="N1033" i="1"/>
  <c r="G1033" i="1"/>
  <c r="A1033" i="1"/>
  <c r="AO1032" i="1"/>
  <c r="N1032" i="1"/>
  <c r="G1032" i="1"/>
  <c r="A1032" i="1"/>
  <c r="AO1031" i="1"/>
  <c r="N1031" i="1"/>
  <c r="G1031" i="1"/>
  <c r="A1031" i="1"/>
  <c r="AO1030" i="1"/>
  <c r="N1030" i="1"/>
  <c r="G1030" i="1"/>
  <c r="A1030" i="1"/>
  <c r="AO1029" i="1"/>
  <c r="N1029" i="1"/>
  <c r="G1029" i="1"/>
  <c r="A1029" i="1"/>
  <c r="AO1028" i="1"/>
  <c r="N1028" i="1"/>
  <c r="G1028" i="1"/>
  <c r="A1028" i="1"/>
  <c r="AO1027" i="1"/>
  <c r="N1027" i="1"/>
  <c r="G1027" i="1"/>
  <c r="A1027" i="1"/>
  <c r="AO1026" i="1"/>
  <c r="N1026" i="1"/>
  <c r="G1026" i="1"/>
  <c r="A1026" i="1"/>
  <c r="AO1025" i="1"/>
  <c r="N1025" i="1"/>
  <c r="G1025" i="1"/>
  <c r="A1025" i="1"/>
  <c r="AO1024" i="1"/>
  <c r="N1024" i="1"/>
  <c r="G1024" i="1"/>
  <c r="A1024" i="1"/>
  <c r="AO1023" i="1"/>
  <c r="N1023" i="1"/>
  <c r="G1023" i="1"/>
  <c r="A1023" i="1"/>
  <c r="AO1022" i="1"/>
  <c r="N1022" i="1"/>
  <c r="G1022" i="1"/>
  <c r="A1022" i="1"/>
  <c r="AO1021" i="1"/>
  <c r="N1021" i="1"/>
  <c r="G1021" i="1"/>
  <c r="A1021" i="1"/>
  <c r="AO1020" i="1"/>
  <c r="N1020" i="1"/>
  <c r="G1020" i="1"/>
  <c r="A1020" i="1"/>
  <c r="AO1019" i="1"/>
  <c r="N1019" i="1"/>
  <c r="G1019" i="1"/>
  <c r="A1019" i="1"/>
  <c r="AO1018" i="1"/>
  <c r="N1018" i="1"/>
  <c r="G1018" i="1"/>
  <c r="A1018" i="1"/>
  <c r="AO1017" i="1"/>
  <c r="N1017" i="1"/>
  <c r="G1017" i="1"/>
  <c r="A1017" i="1"/>
  <c r="AO1016" i="1"/>
  <c r="N1016" i="1"/>
  <c r="G1016" i="1"/>
  <c r="A1016" i="1"/>
  <c r="AO1015" i="1"/>
  <c r="N1015" i="1"/>
  <c r="G1015" i="1"/>
  <c r="A1015" i="1"/>
  <c r="AO1014" i="1"/>
  <c r="N1014" i="1"/>
  <c r="G1014" i="1"/>
  <c r="A1014" i="1"/>
  <c r="AO1013" i="1"/>
  <c r="N1013" i="1"/>
  <c r="G1013" i="1"/>
  <c r="A1013" i="1"/>
  <c r="AO1012" i="1"/>
  <c r="N1012" i="1"/>
  <c r="G1012" i="1"/>
  <c r="A1012" i="1"/>
  <c r="AO1011" i="1"/>
  <c r="N1011" i="1"/>
  <c r="G1011" i="1"/>
  <c r="A1011" i="1"/>
  <c r="AO1010" i="1"/>
  <c r="N1010" i="1"/>
  <c r="G1010" i="1"/>
  <c r="A1010" i="1"/>
  <c r="AO1009" i="1"/>
  <c r="N1009" i="1"/>
  <c r="G1009" i="1"/>
  <c r="A1009" i="1"/>
  <c r="AO1008" i="1"/>
  <c r="N1008" i="1"/>
  <c r="G1008" i="1"/>
  <c r="A1008" i="1"/>
  <c r="AO1007" i="1"/>
  <c r="N1007" i="1"/>
  <c r="G1007" i="1"/>
  <c r="A1007" i="1"/>
  <c r="AO1006" i="1"/>
  <c r="N1006" i="1"/>
  <c r="G1006" i="1"/>
  <c r="A1006" i="1"/>
  <c r="AO1005" i="1"/>
  <c r="N1005" i="1"/>
  <c r="G1005" i="1"/>
  <c r="A1005" i="1"/>
  <c r="AO1004" i="1"/>
  <c r="N1004" i="1"/>
  <c r="G1004" i="1"/>
  <c r="A1004" i="1"/>
  <c r="AO1003" i="1"/>
  <c r="N1003" i="1"/>
  <c r="G1003" i="1"/>
  <c r="A1003" i="1"/>
  <c r="AO1002" i="1"/>
  <c r="N1002" i="1"/>
  <c r="G1002" i="1"/>
  <c r="A1002" i="1"/>
  <c r="AO1001" i="1"/>
  <c r="N1001" i="1"/>
  <c r="G1001" i="1"/>
  <c r="A1001" i="1"/>
  <c r="AO1000" i="1"/>
  <c r="N1000" i="1"/>
  <c r="G1000" i="1"/>
  <c r="A1000" i="1"/>
  <c r="AO999" i="1"/>
  <c r="N999" i="1"/>
  <c r="G999" i="1"/>
  <c r="A999" i="1"/>
  <c r="AO998" i="1"/>
  <c r="N998" i="1"/>
  <c r="G998" i="1"/>
  <c r="A998" i="1"/>
  <c r="AO997" i="1"/>
  <c r="N997" i="1"/>
  <c r="G997" i="1"/>
  <c r="A997" i="1"/>
  <c r="AO996" i="1"/>
  <c r="N996" i="1"/>
  <c r="G996" i="1"/>
  <c r="A996" i="1"/>
  <c r="AO995" i="1"/>
  <c r="N995" i="1"/>
  <c r="G995" i="1"/>
  <c r="A995" i="1"/>
  <c r="AO994" i="1"/>
  <c r="N994" i="1"/>
  <c r="G994" i="1"/>
  <c r="A994" i="1"/>
  <c r="AO993" i="1"/>
  <c r="N993" i="1"/>
  <c r="G993" i="1"/>
  <c r="A993" i="1"/>
  <c r="AO992" i="1"/>
  <c r="N992" i="1"/>
  <c r="G992" i="1"/>
  <c r="A992" i="1"/>
  <c r="AO991" i="1"/>
  <c r="N991" i="1"/>
  <c r="G991" i="1"/>
  <c r="A991" i="1"/>
  <c r="AO990" i="1"/>
  <c r="N990" i="1"/>
  <c r="G990" i="1"/>
  <c r="A990" i="1"/>
  <c r="AO989" i="1"/>
  <c r="N989" i="1"/>
  <c r="G989" i="1"/>
  <c r="A989" i="1"/>
  <c r="AO988" i="1"/>
  <c r="N988" i="1"/>
  <c r="G988" i="1"/>
  <c r="A988" i="1"/>
  <c r="AO987" i="1"/>
  <c r="N987" i="1"/>
  <c r="G987" i="1"/>
  <c r="A987" i="1"/>
  <c r="AO986" i="1"/>
  <c r="N986" i="1"/>
  <c r="G986" i="1"/>
  <c r="A986" i="1"/>
  <c r="AO985" i="1"/>
  <c r="N985" i="1"/>
  <c r="G985" i="1"/>
  <c r="A985" i="1"/>
  <c r="AO984" i="1"/>
  <c r="N984" i="1"/>
  <c r="G984" i="1"/>
  <c r="A984" i="1"/>
  <c r="AO983" i="1"/>
  <c r="N983" i="1"/>
  <c r="G983" i="1"/>
  <c r="A983" i="1"/>
  <c r="AO982" i="1"/>
  <c r="N982" i="1"/>
  <c r="G982" i="1"/>
  <c r="A982" i="1"/>
  <c r="AO981" i="1"/>
  <c r="N981" i="1"/>
  <c r="G981" i="1"/>
  <c r="A981" i="1"/>
  <c r="AO980" i="1"/>
  <c r="N980" i="1"/>
  <c r="G980" i="1"/>
  <c r="A980" i="1"/>
  <c r="AO979" i="1"/>
  <c r="N979" i="1"/>
  <c r="G979" i="1"/>
  <c r="A979" i="1"/>
  <c r="AO978" i="1"/>
  <c r="N978" i="1"/>
  <c r="G978" i="1"/>
  <c r="A978" i="1"/>
  <c r="AO977" i="1"/>
  <c r="N977" i="1"/>
  <c r="G977" i="1"/>
  <c r="A977" i="1"/>
  <c r="AO976" i="1"/>
  <c r="N976" i="1"/>
  <c r="G976" i="1"/>
  <c r="A976" i="1"/>
  <c r="AO975" i="1"/>
  <c r="N975" i="1"/>
  <c r="G975" i="1"/>
  <c r="A975" i="1"/>
  <c r="AO974" i="1"/>
  <c r="N974" i="1"/>
  <c r="G974" i="1"/>
  <c r="A974" i="1"/>
  <c r="AO973" i="1"/>
  <c r="N973" i="1"/>
  <c r="G973" i="1"/>
  <c r="A973" i="1"/>
  <c r="AO972" i="1"/>
  <c r="N972" i="1"/>
  <c r="G972" i="1"/>
  <c r="A972" i="1"/>
  <c r="AO971" i="1"/>
  <c r="N971" i="1"/>
  <c r="G971" i="1"/>
  <c r="A971" i="1"/>
  <c r="AO970" i="1"/>
  <c r="N970" i="1"/>
  <c r="G970" i="1"/>
  <c r="A970" i="1"/>
  <c r="AO969" i="1"/>
  <c r="N969" i="1"/>
  <c r="G969" i="1"/>
  <c r="A969" i="1"/>
  <c r="AO968" i="1"/>
  <c r="N968" i="1"/>
  <c r="G968" i="1"/>
  <c r="A968" i="1"/>
  <c r="AO967" i="1"/>
  <c r="N967" i="1"/>
  <c r="G967" i="1"/>
  <c r="A967" i="1"/>
  <c r="AO966" i="1"/>
  <c r="N966" i="1"/>
  <c r="G966" i="1"/>
  <c r="A966" i="1"/>
  <c r="AO965" i="1"/>
  <c r="N965" i="1"/>
  <c r="G965" i="1"/>
  <c r="A965" i="1"/>
  <c r="AO964" i="1"/>
  <c r="N964" i="1"/>
  <c r="G964" i="1"/>
  <c r="A964" i="1"/>
  <c r="AO963" i="1"/>
  <c r="N963" i="1"/>
  <c r="G963" i="1"/>
  <c r="A963" i="1"/>
  <c r="AO962" i="1"/>
  <c r="N962" i="1"/>
  <c r="G962" i="1"/>
  <c r="A962" i="1"/>
  <c r="AO961" i="1"/>
  <c r="N961" i="1"/>
  <c r="G961" i="1"/>
  <c r="A961" i="1"/>
  <c r="AO960" i="1"/>
  <c r="N960" i="1"/>
  <c r="G960" i="1"/>
  <c r="A960" i="1"/>
  <c r="AO959" i="1"/>
  <c r="N959" i="1"/>
  <c r="G959" i="1"/>
  <c r="A959" i="1"/>
  <c r="AO958" i="1"/>
  <c r="N958" i="1"/>
  <c r="G958" i="1"/>
  <c r="A958" i="1"/>
  <c r="AO957" i="1"/>
  <c r="N957" i="1"/>
  <c r="G957" i="1"/>
  <c r="A957" i="1"/>
  <c r="AO956" i="1"/>
  <c r="N956" i="1"/>
  <c r="G956" i="1"/>
  <c r="A956" i="1"/>
  <c r="AO955" i="1"/>
  <c r="N955" i="1"/>
  <c r="G955" i="1"/>
  <c r="A955" i="1"/>
  <c r="AO954" i="1"/>
  <c r="N954" i="1"/>
  <c r="G954" i="1"/>
  <c r="A954" i="1"/>
  <c r="AO953" i="1"/>
  <c r="N953" i="1"/>
  <c r="G953" i="1"/>
  <c r="A953" i="1"/>
  <c r="AO952" i="1"/>
  <c r="N952" i="1"/>
  <c r="G952" i="1"/>
  <c r="A952" i="1"/>
  <c r="AO951" i="1"/>
  <c r="N951" i="1"/>
  <c r="G951" i="1"/>
  <c r="A951" i="1"/>
  <c r="AO950" i="1"/>
  <c r="N950" i="1"/>
  <c r="G950" i="1"/>
  <c r="A950" i="1"/>
  <c r="AO949" i="1"/>
  <c r="N949" i="1"/>
  <c r="G949" i="1"/>
  <c r="A949" i="1"/>
  <c r="AO948" i="1"/>
  <c r="N948" i="1"/>
  <c r="G948" i="1"/>
  <c r="A948" i="1"/>
  <c r="AO947" i="1"/>
  <c r="N947" i="1"/>
  <c r="G947" i="1"/>
  <c r="A947" i="1"/>
  <c r="AO946" i="1"/>
  <c r="N946" i="1"/>
  <c r="G946" i="1"/>
  <c r="A946" i="1"/>
  <c r="AO945" i="1"/>
  <c r="N945" i="1"/>
  <c r="G945" i="1"/>
  <c r="A945" i="1"/>
  <c r="AO944" i="1"/>
  <c r="N944" i="1"/>
  <c r="G944" i="1"/>
  <c r="A944" i="1"/>
  <c r="AO943" i="1"/>
  <c r="N943" i="1"/>
  <c r="G943" i="1"/>
  <c r="A943" i="1"/>
  <c r="AO942" i="1"/>
  <c r="N942" i="1"/>
  <c r="G942" i="1"/>
  <c r="A942" i="1"/>
  <c r="AO941" i="1"/>
  <c r="N941" i="1"/>
  <c r="G941" i="1"/>
  <c r="A941" i="1"/>
  <c r="AO940" i="1"/>
  <c r="N940" i="1"/>
  <c r="G940" i="1"/>
  <c r="A940" i="1"/>
  <c r="AO939" i="1"/>
  <c r="N939" i="1"/>
  <c r="G939" i="1"/>
  <c r="A939" i="1"/>
  <c r="AO938" i="1"/>
  <c r="N938" i="1"/>
  <c r="G938" i="1"/>
  <c r="A938" i="1"/>
  <c r="AO937" i="1"/>
  <c r="N937" i="1"/>
  <c r="G937" i="1"/>
  <c r="A937" i="1"/>
  <c r="AO936" i="1"/>
  <c r="N936" i="1"/>
  <c r="G936" i="1"/>
  <c r="A936" i="1"/>
  <c r="AO935" i="1"/>
  <c r="N935" i="1"/>
  <c r="G935" i="1"/>
  <c r="A935" i="1"/>
  <c r="AO934" i="1"/>
  <c r="N934" i="1"/>
  <c r="G934" i="1"/>
  <c r="A934" i="1"/>
  <c r="AO933" i="1"/>
  <c r="N933" i="1"/>
  <c r="G933" i="1"/>
  <c r="A933" i="1"/>
  <c r="AO932" i="1"/>
  <c r="N932" i="1"/>
  <c r="G932" i="1"/>
  <c r="A932" i="1"/>
  <c r="AO931" i="1"/>
  <c r="N931" i="1"/>
  <c r="G931" i="1"/>
  <c r="A931" i="1"/>
  <c r="AO930" i="1"/>
  <c r="N930" i="1"/>
  <c r="G930" i="1"/>
  <c r="A930" i="1"/>
  <c r="AO929" i="1"/>
  <c r="N929" i="1"/>
  <c r="G929" i="1"/>
  <c r="A929" i="1"/>
  <c r="AO928" i="1"/>
  <c r="N928" i="1"/>
  <c r="G928" i="1"/>
  <c r="A928" i="1"/>
  <c r="AO927" i="1"/>
  <c r="N927" i="1"/>
  <c r="G927" i="1"/>
  <c r="A927" i="1"/>
  <c r="AO926" i="1"/>
  <c r="N926" i="1"/>
  <c r="G926" i="1"/>
  <c r="A926" i="1"/>
  <c r="AO925" i="1"/>
  <c r="N925" i="1"/>
  <c r="G925" i="1"/>
  <c r="A925" i="1"/>
  <c r="AO924" i="1"/>
  <c r="N924" i="1"/>
  <c r="G924" i="1"/>
  <c r="A924" i="1"/>
  <c r="AO923" i="1"/>
  <c r="N923" i="1"/>
  <c r="G923" i="1"/>
  <c r="A923" i="1"/>
  <c r="AO922" i="1"/>
  <c r="N922" i="1"/>
  <c r="G922" i="1"/>
  <c r="A922" i="1"/>
  <c r="AO921" i="1"/>
  <c r="N921" i="1"/>
  <c r="G921" i="1"/>
  <c r="A921" i="1"/>
  <c r="AO920" i="1"/>
  <c r="N920" i="1"/>
  <c r="G920" i="1"/>
  <c r="A920" i="1"/>
  <c r="AO919" i="1"/>
  <c r="N919" i="1"/>
  <c r="G919" i="1"/>
  <c r="A919" i="1"/>
  <c r="AO918" i="1"/>
  <c r="N918" i="1"/>
  <c r="G918" i="1"/>
  <c r="A918" i="1"/>
  <c r="AO917" i="1"/>
  <c r="N917" i="1"/>
  <c r="G917" i="1"/>
  <c r="A917" i="1"/>
  <c r="AO916" i="1"/>
  <c r="N916" i="1"/>
  <c r="G916" i="1"/>
  <c r="A916" i="1"/>
  <c r="AO915" i="1"/>
  <c r="N915" i="1"/>
  <c r="G915" i="1"/>
  <c r="A915" i="1"/>
  <c r="AO914" i="1"/>
  <c r="N914" i="1"/>
  <c r="G914" i="1"/>
  <c r="A914" i="1"/>
  <c r="AO913" i="1"/>
  <c r="N913" i="1"/>
  <c r="G913" i="1"/>
  <c r="A913" i="1"/>
  <c r="AO912" i="1"/>
  <c r="N912" i="1"/>
  <c r="G912" i="1"/>
  <c r="A912" i="1"/>
  <c r="AO911" i="1"/>
  <c r="N911" i="1"/>
  <c r="G911" i="1"/>
  <c r="A911" i="1"/>
  <c r="AO910" i="1"/>
  <c r="N910" i="1"/>
  <c r="G910" i="1"/>
  <c r="A910" i="1"/>
  <c r="AO909" i="1"/>
  <c r="N909" i="1"/>
  <c r="G909" i="1"/>
  <c r="A909" i="1"/>
  <c r="AO908" i="1"/>
  <c r="N908" i="1"/>
  <c r="G908" i="1"/>
  <c r="A908" i="1"/>
  <c r="AO907" i="1"/>
  <c r="N907" i="1"/>
  <c r="G907" i="1"/>
  <c r="A907" i="1"/>
  <c r="AO906" i="1"/>
  <c r="N906" i="1"/>
  <c r="G906" i="1"/>
  <c r="A906" i="1"/>
  <c r="AO905" i="1"/>
  <c r="N905" i="1"/>
  <c r="G905" i="1"/>
  <c r="A905" i="1"/>
  <c r="AO904" i="1"/>
  <c r="N904" i="1"/>
  <c r="G904" i="1"/>
  <c r="A904" i="1"/>
  <c r="AO903" i="1"/>
  <c r="N903" i="1"/>
  <c r="G903" i="1"/>
  <c r="A903" i="1"/>
  <c r="AO902" i="1"/>
  <c r="N902" i="1"/>
  <c r="G902" i="1"/>
  <c r="A902" i="1"/>
  <c r="AO901" i="1"/>
  <c r="N901" i="1"/>
  <c r="G901" i="1"/>
  <c r="A901" i="1"/>
  <c r="AO900" i="1"/>
  <c r="N900" i="1"/>
  <c r="G900" i="1"/>
  <c r="A900" i="1"/>
  <c r="AO899" i="1"/>
  <c r="N899" i="1"/>
  <c r="G899" i="1"/>
  <c r="A899" i="1"/>
  <c r="AO898" i="1"/>
  <c r="N898" i="1"/>
  <c r="G898" i="1"/>
  <c r="A898" i="1"/>
  <c r="AO897" i="1"/>
  <c r="N897" i="1"/>
  <c r="G897" i="1"/>
  <c r="A897" i="1"/>
  <c r="AO896" i="1"/>
  <c r="N896" i="1"/>
  <c r="G896" i="1"/>
  <c r="A896" i="1"/>
  <c r="AO895" i="1"/>
  <c r="N895" i="1"/>
  <c r="G895" i="1"/>
  <c r="A895" i="1"/>
  <c r="AO894" i="1"/>
  <c r="N894" i="1"/>
  <c r="G894" i="1"/>
  <c r="A894" i="1"/>
  <c r="AO893" i="1"/>
  <c r="N893" i="1"/>
  <c r="G893" i="1"/>
  <c r="A893" i="1"/>
  <c r="AO892" i="1"/>
  <c r="N892" i="1"/>
  <c r="G892" i="1"/>
  <c r="A892" i="1"/>
  <c r="AO891" i="1"/>
  <c r="N891" i="1"/>
  <c r="G891" i="1"/>
  <c r="A891" i="1"/>
  <c r="AO890" i="1"/>
  <c r="N890" i="1"/>
  <c r="G890" i="1"/>
  <c r="A890" i="1"/>
  <c r="AO889" i="1"/>
  <c r="N889" i="1"/>
  <c r="G889" i="1"/>
  <c r="A889" i="1"/>
  <c r="AO888" i="1"/>
  <c r="N888" i="1"/>
  <c r="G888" i="1"/>
  <c r="A888" i="1"/>
  <c r="AO887" i="1"/>
  <c r="N887" i="1"/>
  <c r="G887" i="1"/>
  <c r="A887" i="1"/>
  <c r="AO886" i="1"/>
  <c r="N886" i="1"/>
  <c r="G886" i="1"/>
  <c r="A886" i="1"/>
  <c r="AO885" i="1"/>
  <c r="N885" i="1"/>
  <c r="G885" i="1"/>
  <c r="A885" i="1"/>
  <c r="AO884" i="1"/>
  <c r="N884" i="1"/>
  <c r="G884" i="1"/>
  <c r="A884" i="1"/>
  <c r="AO883" i="1"/>
  <c r="N883" i="1"/>
  <c r="G883" i="1"/>
  <c r="A883" i="1"/>
  <c r="AO882" i="1"/>
  <c r="N882" i="1"/>
  <c r="G882" i="1"/>
  <c r="A882" i="1"/>
  <c r="AO881" i="1"/>
  <c r="N881" i="1"/>
  <c r="G881" i="1"/>
  <c r="A881" i="1"/>
  <c r="AO880" i="1"/>
  <c r="N880" i="1"/>
  <c r="G880" i="1"/>
  <c r="A880" i="1"/>
  <c r="AO879" i="1"/>
  <c r="N879" i="1"/>
  <c r="G879" i="1"/>
  <c r="A879" i="1"/>
  <c r="AO878" i="1"/>
  <c r="N878" i="1"/>
  <c r="G878" i="1"/>
  <c r="A878" i="1"/>
  <c r="AO877" i="1"/>
  <c r="N877" i="1"/>
  <c r="G877" i="1"/>
  <c r="A877" i="1"/>
  <c r="AO876" i="1"/>
  <c r="N876" i="1"/>
  <c r="G876" i="1"/>
  <c r="A876" i="1"/>
  <c r="AO875" i="1"/>
  <c r="N875" i="1"/>
  <c r="G875" i="1"/>
  <c r="A875" i="1"/>
  <c r="AO874" i="1"/>
  <c r="N874" i="1"/>
  <c r="G874" i="1"/>
  <c r="A874" i="1"/>
  <c r="AO873" i="1"/>
  <c r="N873" i="1"/>
  <c r="G873" i="1"/>
  <c r="A873" i="1"/>
  <c r="AO872" i="1"/>
  <c r="N872" i="1"/>
  <c r="G872" i="1"/>
  <c r="A872" i="1"/>
  <c r="AO871" i="1"/>
  <c r="N871" i="1"/>
  <c r="G871" i="1"/>
  <c r="A871" i="1"/>
  <c r="AO870" i="1"/>
  <c r="N870" i="1"/>
  <c r="G870" i="1"/>
  <c r="A870" i="1"/>
  <c r="AO869" i="1"/>
  <c r="N869" i="1"/>
  <c r="G869" i="1"/>
  <c r="A869" i="1"/>
  <c r="AO868" i="1"/>
  <c r="N868" i="1"/>
  <c r="G868" i="1"/>
  <c r="A868" i="1"/>
  <c r="AO867" i="1"/>
  <c r="N867" i="1"/>
  <c r="G867" i="1"/>
  <c r="A867" i="1"/>
  <c r="AO866" i="1"/>
  <c r="N866" i="1"/>
  <c r="G866" i="1"/>
  <c r="A866" i="1"/>
  <c r="AO865" i="1"/>
  <c r="N865" i="1"/>
  <c r="G865" i="1"/>
  <c r="A865" i="1"/>
  <c r="AO864" i="1"/>
  <c r="N864" i="1"/>
  <c r="G864" i="1"/>
  <c r="A864" i="1"/>
  <c r="AO863" i="1"/>
  <c r="N863" i="1"/>
  <c r="G863" i="1"/>
  <c r="A863" i="1"/>
  <c r="AO862" i="1"/>
  <c r="N862" i="1"/>
  <c r="G862" i="1"/>
  <c r="A862" i="1"/>
  <c r="AO861" i="1"/>
  <c r="N861" i="1"/>
  <c r="G861" i="1"/>
  <c r="A861" i="1"/>
  <c r="AO860" i="1"/>
  <c r="N860" i="1"/>
  <c r="G860" i="1"/>
  <c r="A860" i="1"/>
  <c r="AO859" i="1"/>
  <c r="N859" i="1"/>
  <c r="G859" i="1"/>
  <c r="A859" i="1"/>
  <c r="AO858" i="1"/>
  <c r="N858" i="1"/>
  <c r="G858" i="1"/>
  <c r="A858" i="1"/>
  <c r="AO857" i="1"/>
  <c r="N857" i="1"/>
  <c r="G857" i="1"/>
  <c r="A857" i="1"/>
  <c r="AO856" i="1"/>
  <c r="N856" i="1"/>
  <c r="G856" i="1"/>
  <c r="A856" i="1"/>
  <c r="AO855" i="1"/>
  <c r="N855" i="1"/>
  <c r="G855" i="1"/>
  <c r="A855" i="1"/>
  <c r="AO854" i="1"/>
  <c r="N854" i="1"/>
  <c r="G854" i="1"/>
  <c r="A854" i="1"/>
  <c r="AO853" i="1"/>
  <c r="N853" i="1"/>
  <c r="G853" i="1"/>
  <c r="A853" i="1"/>
  <c r="AO852" i="1"/>
  <c r="N852" i="1"/>
  <c r="G852" i="1"/>
  <c r="A852" i="1"/>
  <c r="AO851" i="1"/>
  <c r="N851" i="1"/>
  <c r="G851" i="1"/>
  <c r="A851" i="1"/>
  <c r="AO850" i="1"/>
  <c r="N850" i="1"/>
  <c r="G850" i="1"/>
  <c r="A850" i="1"/>
  <c r="AO849" i="1"/>
  <c r="N849" i="1"/>
  <c r="G849" i="1"/>
  <c r="A849" i="1"/>
  <c r="AO848" i="1"/>
  <c r="N848" i="1"/>
  <c r="G848" i="1"/>
  <c r="A848" i="1"/>
  <c r="AO847" i="1"/>
  <c r="N847" i="1"/>
  <c r="G847" i="1"/>
  <c r="A847" i="1"/>
  <c r="AO846" i="1"/>
  <c r="N846" i="1"/>
  <c r="G846" i="1"/>
  <c r="A846" i="1"/>
  <c r="AO845" i="1"/>
  <c r="N845" i="1"/>
  <c r="G845" i="1"/>
  <c r="A845" i="1"/>
  <c r="AO844" i="1"/>
  <c r="N844" i="1"/>
  <c r="G844" i="1"/>
  <c r="A844" i="1"/>
  <c r="AO843" i="1"/>
  <c r="N843" i="1"/>
  <c r="G843" i="1"/>
  <c r="A843" i="1"/>
  <c r="AO842" i="1"/>
  <c r="N842" i="1"/>
  <c r="G842" i="1"/>
  <c r="A842" i="1"/>
  <c r="AO841" i="1"/>
  <c r="N841" i="1"/>
  <c r="G841" i="1"/>
  <c r="A841" i="1"/>
  <c r="AO840" i="1"/>
  <c r="N840" i="1"/>
  <c r="G840" i="1"/>
  <c r="A840" i="1"/>
  <c r="AO839" i="1"/>
  <c r="N839" i="1"/>
  <c r="G839" i="1"/>
  <c r="A839" i="1"/>
  <c r="AO838" i="1"/>
  <c r="N838" i="1"/>
  <c r="G838" i="1"/>
  <c r="A838" i="1"/>
  <c r="AO837" i="1"/>
  <c r="N837" i="1"/>
  <c r="G837" i="1"/>
  <c r="A837" i="1"/>
  <c r="AO836" i="1"/>
  <c r="N836" i="1"/>
  <c r="G836" i="1"/>
  <c r="A836" i="1"/>
  <c r="AO835" i="1"/>
  <c r="N835" i="1"/>
  <c r="G835" i="1"/>
  <c r="A835" i="1"/>
  <c r="AO834" i="1"/>
  <c r="N834" i="1"/>
  <c r="G834" i="1"/>
  <c r="A834" i="1"/>
  <c r="AO833" i="1"/>
  <c r="N833" i="1"/>
  <c r="G833" i="1"/>
  <c r="A833" i="1"/>
  <c r="AO832" i="1"/>
  <c r="N832" i="1"/>
  <c r="G832" i="1"/>
  <c r="A832" i="1"/>
  <c r="AO831" i="1"/>
  <c r="N831" i="1"/>
  <c r="G831" i="1"/>
  <c r="A831" i="1"/>
  <c r="AO830" i="1"/>
  <c r="N830" i="1"/>
  <c r="G830" i="1"/>
  <c r="A830" i="1"/>
  <c r="AO829" i="1"/>
  <c r="N829" i="1"/>
  <c r="G829" i="1"/>
  <c r="A829" i="1"/>
  <c r="AO828" i="1"/>
  <c r="N828" i="1"/>
  <c r="G828" i="1"/>
  <c r="A828" i="1"/>
  <c r="AO827" i="1"/>
  <c r="N827" i="1"/>
  <c r="G827" i="1"/>
  <c r="A827" i="1"/>
  <c r="AO826" i="1"/>
  <c r="N826" i="1"/>
  <c r="G826" i="1"/>
  <c r="A826" i="1"/>
  <c r="AO825" i="1"/>
  <c r="N825" i="1"/>
  <c r="G825" i="1"/>
  <c r="A825" i="1"/>
  <c r="AO824" i="1"/>
  <c r="N824" i="1"/>
  <c r="G824" i="1"/>
  <c r="A824" i="1"/>
  <c r="AO823" i="1"/>
  <c r="N823" i="1"/>
  <c r="G823" i="1"/>
  <c r="A823" i="1"/>
  <c r="AO822" i="1"/>
  <c r="N822" i="1"/>
  <c r="G822" i="1"/>
  <c r="A822" i="1"/>
  <c r="AO821" i="1"/>
  <c r="N821" i="1"/>
  <c r="G821" i="1"/>
  <c r="A821" i="1"/>
  <c r="AO820" i="1"/>
  <c r="N820" i="1"/>
  <c r="G820" i="1"/>
  <c r="A820" i="1"/>
  <c r="AO819" i="1"/>
  <c r="N819" i="1"/>
  <c r="G819" i="1"/>
  <c r="A819" i="1"/>
  <c r="AO818" i="1"/>
  <c r="N818" i="1"/>
  <c r="G818" i="1"/>
  <c r="A818" i="1"/>
  <c r="AO817" i="1"/>
  <c r="N817" i="1"/>
  <c r="G817" i="1"/>
  <c r="A817" i="1"/>
  <c r="AO816" i="1"/>
  <c r="N816" i="1"/>
  <c r="G816" i="1"/>
  <c r="A816" i="1"/>
  <c r="AO815" i="1"/>
  <c r="N815" i="1"/>
  <c r="G815" i="1"/>
  <c r="A815" i="1"/>
  <c r="AO814" i="1"/>
  <c r="N814" i="1"/>
  <c r="G814" i="1"/>
  <c r="A814" i="1"/>
  <c r="AO813" i="1"/>
  <c r="N813" i="1"/>
  <c r="G813" i="1"/>
  <c r="A813" i="1"/>
  <c r="AO812" i="1"/>
  <c r="N812" i="1"/>
  <c r="G812" i="1"/>
  <c r="A812" i="1"/>
  <c r="AO811" i="1"/>
  <c r="N811" i="1"/>
  <c r="G811" i="1"/>
  <c r="A811" i="1"/>
  <c r="AO810" i="1"/>
  <c r="N810" i="1"/>
  <c r="G810" i="1"/>
  <c r="A810" i="1"/>
  <c r="AO809" i="1"/>
  <c r="N809" i="1"/>
  <c r="G809" i="1"/>
  <c r="A809" i="1"/>
  <c r="AO808" i="1"/>
  <c r="N808" i="1"/>
  <c r="G808" i="1"/>
  <c r="A808" i="1"/>
  <c r="AO807" i="1"/>
  <c r="N807" i="1"/>
  <c r="G807" i="1"/>
  <c r="A807" i="1"/>
  <c r="AO806" i="1"/>
  <c r="N806" i="1"/>
  <c r="G806" i="1"/>
  <c r="A806" i="1"/>
  <c r="AO805" i="1"/>
  <c r="N805" i="1"/>
  <c r="G805" i="1"/>
  <c r="A805" i="1"/>
  <c r="AO804" i="1"/>
  <c r="N804" i="1"/>
  <c r="G804" i="1"/>
  <c r="A804" i="1"/>
  <c r="AO803" i="1"/>
  <c r="N803" i="1"/>
  <c r="G803" i="1"/>
  <c r="A803" i="1"/>
  <c r="AO802" i="1"/>
  <c r="N802" i="1"/>
  <c r="G802" i="1"/>
  <c r="A802" i="1"/>
  <c r="AO801" i="1"/>
  <c r="N801" i="1"/>
  <c r="G801" i="1"/>
  <c r="A801" i="1"/>
  <c r="AO800" i="1"/>
  <c r="N800" i="1"/>
  <c r="G800" i="1"/>
  <c r="A800" i="1"/>
  <c r="AO799" i="1"/>
  <c r="N799" i="1"/>
  <c r="G799" i="1"/>
  <c r="A799" i="1"/>
  <c r="AO798" i="1"/>
  <c r="N798" i="1"/>
  <c r="G798" i="1"/>
  <c r="A798" i="1"/>
  <c r="AO797" i="1"/>
  <c r="N797" i="1"/>
  <c r="G797" i="1"/>
  <c r="A797" i="1"/>
  <c r="AO796" i="1"/>
  <c r="N796" i="1"/>
  <c r="G796" i="1"/>
  <c r="A796" i="1"/>
  <c r="AO795" i="1"/>
  <c r="N795" i="1"/>
  <c r="G795" i="1"/>
  <c r="A795" i="1"/>
  <c r="AO794" i="1"/>
  <c r="N794" i="1"/>
  <c r="G794" i="1"/>
  <c r="A794" i="1"/>
  <c r="AO793" i="1"/>
  <c r="N793" i="1"/>
  <c r="G793" i="1"/>
  <c r="A793" i="1"/>
  <c r="AO792" i="1"/>
  <c r="N792" i="1"/>
  <c r="G792" i="1"/>
  <c r="A792" i="1"/>
  <c r="AO791" i="1"/>
  <c r="N791" i="1"/>
  <c r="G791" i="1"/>
  <c r="A791" i="1"/>
  <c r="AO790" i="1"/>
  <c r="N790" i="1"/>
  <c r="G790" i="1"/>
  <c r="A790" i="1"/>
  <c r="AO789" i="1"/>
  <c r="N789" i="1"/>
  <c r="G789" i="1"/>
  <c r="A789" i="1"/>
  <c r="AO788" i="1"/>
  <c r="N788" i="1"/>
  <c r="G788" i="1"/>
  <c r="A788" i="1"/>
  <c r="AO787" i="1"/>
  <c r="N787" i="1"/>
  <c r="G787" i="1"/>
  <c r="A787" i="1"/>
  <c r="AO786" i="1"/>
  <c r="N786" i="1"/>
  <c r="G786" i="1"/>
  <c r="A786" i="1"/>
  <c r="AO785" i="1"/>
  <c r="N785" i="1"/>
  <c r="G785" i="1"/>
  <c r="A785" i="1"/>
  <c r="AO784" i="1"/>
  <c r="N784" i="1"/>
  <c r="G784" i="1"/>
  <c r="A784" i="1"/>
  <c r="AO783" i="1"/>
  <c r="N783" i="1"/>
  <c r="G783" i="1"/>
  <c r="A783" i="1"/>
  <c r="AO782" i="1"/>
  <c r="N782" i="1"/>
  <c r="G782" i="1"/>
  <c r="A782" i="1"/>
  <c r="AO781" i="1"/>
  <c r="N781" i="1"/>
  <c r="G781" i="1"/>
  <c r="A781" i="1"/>
  <c r="AO780" i="1"/>
  <c r="N780" i="1"/>
  <c r="G780" i="1"/>
  <c r="A780" i="1"/>
  <c r="AO779" i="1"/>
  <c r="N779" i="1"/>
  <c r="G779" i="1"/>
  <c r="A779" i="1"/>
  <c r="AO778" i="1"/>
  <c r="N778" i="1"/>
  <c r="G778" i="1"/>
  <c r="A778" i="1"/>
  <c r="AO777" i="1"/>
  <c r="N777" i="1"/>
  <c r="G777" i="1"/>
  <c r="A777" i="1"/>
  <c r="AO776" i="1"/>
  <c r="N776" i="1"/>
  <c r="G776" i="1"/>
  <c r="A776" i="1"/>
  <c r="AO775" i="1"/>
  <c r="N775" i="1"/>
  <c r="G775" i="1"/>
  <c r="A775" i="1"/>
  <c r="AO774" i="1"/>
  <c r="N774" i="1"/>
  <c r="G774" i="1"/>
  <c r="A774" i="1"/>
  <c r="AO773" i="1"/>
  <c r="N773" i="1"/>
  <c r="G773" i="1"/>
  <c r="A773" i="1"/>
  <c r="AO772" i="1"/>
  <c r="N772" i="1"/>
  <c r="G772" i="1"/>
  <c r="A772" i="1"/>
  <c r="AO771" i="1"/>
  <c r="N771" i="1"/>
  <c r="G771" i="1"/>
  <c r="A771" i="1"/>
  <c r="AO770" i="1"/>
  <c r="N770" i="1"/>
  <c r="G770" i="1"/>
  <c r="A770" i="1"/>
  <c r="AO769" i="1"/>
  <c r="N769" i="1"/>
  <c r="G769" i="1"/>
  <c r="A769" i="1"/>
  <c r="AO768" i="1"/>
  <c r="N768" i="1"/>
  <c r="G768" i="1"/>
  <c r="A768" i="1"/>
  <c r="AO767" i="1"/>
  <c r="N767" i="1"/>
  <c r="G767" i="1"/>
  <c r="A767" i="1"/>
  <c r="AO766" i="1"/>
  <c r="N766" i="1"/>
  <c r="G766" i="1"/>
  <c r="A766" i="1"/>
  <c r="AO765" i="1"/>
  <c r="N765" i="1"/>
  <c r="G765" i="1"/>
  <c r="A765" i="1"/>
  <c r="AO764" i="1"/>
  <c r="N764" i="1"/>
  <c r="G764" i="1"/>
  <c r="A764" i="1"/>
  <c r="AO763" i="1"/>
  <c r="N763" i="1"/>
  <c r="G763" i="1"/>
  <c r="A763" i="1"/>
  <c r="AO762" i="1"/>
  <c r="N762" i="1"/>
  <c r="G762" i="1"/>
  <c r="A762" i="1"/>
  <c r="AO761" i="1"/>
  <c r="N761" i="1"/>
  <c r="G761" i="1"/>
  <c r="A761" i="1"/>
  <c r="AO760" i="1"/>
  <c r="N760" i="1"/>
  <c r="G760" i="1"/>
  <c r="A760" i="1"/>
  <c r="AO759" i="1"/>
  <c r="N759" i="1"/>
  <c r="G759" i="1"/>
  <c r="A759" i="1"/>
  <c r="AO758" i="1"/>
  <c r="N758" i="1"/>
  <c r="G758" i="1"/>
  <c r="A758" i="1"/>
  <c r="AO757" i="1"/>
  <c r="N757" i="1"/>
  <c r="G757" i="1"/>
  <c r="A757" i="1"/>
  <c r="AO756" i="1"/>
  <c r="N756" i="1"/>
  <c r="G756" i="1"/>
  <c r="A756" i="1"/>
  <c r="AO755" i="1"/>
  <c r="N755" i="1"/>
  <c r="G755" i="1"/>
  <c r="A755" i="1"/>
  <c r="AO754" i="1"/>
  <c r="N754" i="1"/>
  <c r="G754" i="1"/>
  <c r="A754" i="1"/>
  <c r="AO753" i="1"/>
  <c r="N753" i="1"/>
  <c r="G753" i="1"/>
  <c r="A753" i="1"/>
  <c r="AO752" i="1"/>
  <c r="N752" i="1"/>
  <c r="G752" i="1"/>
  <c r="A752" i="1"/>
  <c r="AO751" i="1"/>
  <c r="N751" i="1"/>
  <c r="G751" i="1"/>
  <c r="A751" i="1"/>
  <c r="AO750" i="1"/>
  <c r="N750" i="1"/>
  <c r="G750" i="1"/>
  <c r="A750" i="1"/>
  <c r="AO749" i="1"/>
  <c r="N749" i="1"/>
  <c r="G749" i="1"/>
  <c r="A749" i="1"/>
  <c r="AO748" i="1"/>
  <c r="N748" i="1"/>
  <c r="G748" i="1"/>
  <c r="A748" i="1"/>
  <c r="AO747" i="1"/>
  <c r="N747" i="1"/>
  <c r="G747" i="1"/>
  <c r="A747" i="1"/>
  <c r="AO746" i="1"/>
  <c r="N746" i="1"/>
  <c r="G746" i="1"/>
  <c r="A746" i="1"/>
  <c r="AO745" i="1"/>
  <c r="N745" i="1"/>
  <c r="G745" i="1"/>
  <c r="A745" i="1"/>
  <c r="AO744" i="1"/>
  <c r="N744" i="1"/>
  <c r="G744" i="1"/>
  <c r="A744" i="1"/>
  <c r="AO743" i="1"/>
  <c r="N743" i="1"/>
  <c r="G743" i="1"/>
  <c r="A743" i="1"/>
  <c r="AO742" i="1"/>
  <c r="N742" i="1"/>
  <c r="G742" i="1"/>
  <c r="A742" i="1"/>
  <c r="AO741" i="1"/>
  <c r="N741" i="1"/>
  <c r="G741" i="1"/>
  <c r="A741" i="1"/>
  <c r="AO740" i="1"/>
  <c r="N740" i="1"/>
  <c r="G740" i="1"/>
  <c r="A740" i="1"/>
  <c r="AO739" i="1"/>
  <c r="N739" i="1"/>
  <c r="G739" i="1"/>
  <c r="A739" i="1"/>
  <c r="AO738" i="1"/>
  <c r="N738" i="1"/>
  <c r="G738" i="1"/>
  <c r="A738" i="1"/>
  <c r="AO737" i="1"/>
  <c r="N737" i="1"/>
  <c r="G737" i="1"/>
  <c r="A737" i="1"/>
  <c r="AO736" i="1"/>
  <c r="N736" i="1"/>
  <c r="G736" i="1"/>
  <c r="A736" i="1"/>
  <c r="AO735" i="1"/>
  <c r="N735" i="1"/>
  <c r="G735" i="1"/>
  <c r="A735" i="1"/>
  <c r="AO734" i="1"/>
  <c r="N734" i="1"/>
  <c r="G734" i="1"/>
  <c r="A734" i="1"/>
  <c r="AO733" i="1"/>
  <c r="N733" i="1"/>
  <c r="G733" i="1"/>
  <c r="A733" i="1"/>
  <c r="AO732" i="1"/>
  <c r="N732" i="1"/>
  <c r="G732" i="1"/>
  <c r="A732" i="1"/>
  <c r="AO731" i="1"/>
  <c r="N731" i="1"/>
  <c r="G731" i="1"/>
  <c r="A731" i="1"/>
  <c r="AO730" i="1"/>
  <c r="N730" i="1"/>
  <c r="G730" i="1"/>
  <c r="A730" i="1"/>
  <c r="AO729" i="1"/>
  <c r="N729" i="1"/>
  <c r="G729" i="1"/>
  <c r="A729" i="1"/>
  <c r="AO728" i="1"/>
  <c r="N728" i="1"/>
  <c r="G728" i="1"/>
  <c r="A728" i="1"/>
  <c r="AO727" i="1"/>
  <c r="N727" i="1"/>
  <c r="G727" i="1"/>
  <c r="A727" i="1"/>
  <c r="AO726" i="1"/>
  <c r="N726" i="1"/>
  <c r="G726" i="1"/>
  <c r="A726" i="1"/>
  <c r="AO725" i="1"/>
  <c r="N725" i="1"/>
  <c r="G725" i="1"/>
  <c r="A725" i="1"/>
  <c r="AO724" i="1"/>
  <c r="N724" i="1"/>
  <c r="G724" i="1"/>
  <c r="A724" i="1"/>
  <c r="AO723" i="1"/>
  <c r="N723" i="1"/>
  <c r="G723" i="1"/>
  <c r="A723" i="1"/>
  <c r="AO722" i="1"/>
  <c r="N722" i="1"/>
  <c r="G722" i="1"/>
  <c r="A722" i="1"/>
  <c r="AO721" i="1"/>
  <c r="N721" i="1"/>
  <c r="G721" i="1"/>
  <c r="A721" i="1"/>
  <c r="AO720" i="1"/>
  <c r="N720" i="1"/>
  <c r="G720" i="1"/>
  <c r="A720" i="1"/>
  <c r="AO719" i="1"/>
  <c r="N719" i="1"/>
  <c r="G719" i="1"/>
  <c r="A719" i="1"/>
  <c r="AO718" i="1"/>
  <c r="N718" i="1"/>
  <c r="G718" i="1"/>
  <c r="A718" i="1"/>
  <c r="AO717" i="1"/>
  <c r="N717" i="1"/>
  <c r="G717" i="1"/>
  <c r="A717" i="1"/>
  <c r="AO716" i="1"/>
  <c r="N716" i="1"/>
  <c r="G716" i="1"/>
  <c r="A716" i="1"/>
  <c r="AO715" i="1"/>
  <c r="N715" i="1"/>
  <c r="G715" i="1"/>
  <c r="A715" i="1"/>
  <c r="AO714" i="1"/>
  <c r="N714" i="1"/>
  <c r="G714" i="1"/>
  <c r="A714" i="1"/>
  <c r="AO713" i="1"/>
  <c r="N713" i="1"/>
  <c r="G713" i="1"/>
  <c r="A713" i="1"/>
  <c r="AO712" i="1"/>
  <c r="N712" i="1"/>
  <c r="G712" i="1"/>
  <c r="A712" i="1"/>
  <c r="AO711" i="1"/>
  <c r="N711" i="1"/>
  <c r="G711" i="1"/>
  <c r="A711" i="1"/>
  <c r="AO710" i="1"/>
  <c r="N710" i="1"/>
  <c r="G710" i="1"/>
  <c r="A710" i="1"/>
  <c r="AO709" i="1"/>
  <c r="N709" i="1"/>
  <c r="G709" i="1"/>
  <c r="A709" i="1"/>
  <c r="AO708" i="1"/>
  <c r="N708" i="1"/>
  <c r="G708" i="1"/>
  <c r="A708" i="1"/>
  <c r="AO707" i="1"/>
  <c r="N707" i="1"/>
  <c r="G707" i="1"/>
  <c r="A707" i="1"/>
  <c r="AO706" i="1"/>
  <c r="N706" i="1"/>
  <c r="G706" i="1"/>
  <c r="A706" i="1"/>
  <c r="AO705" i="1"/>
  <c r="N705" i="1"/>
  <c r="G705" i="1"/>
  <c r="A705" i="1"/>
  <c r="AO704" i="1"/>
  <c r="N704" i="1"/>
  <c r="G704" i="1"/>
  <c r="A704" i="1"/>
  <c r="AO703" i="1"/>
  <c r="N703" i="1"/>
  <c r="G703" i="1"/>
  <c r="A703" i="1"/>
  <c r="AO702" i="1"/>
  <c r="N702" i="1"/>
  <c r="G702" i="1"/>
  <c r="A702" i="1"/>
  <c r="AO701" i="1"/>
  <c r="N701" i="1"/>
  <c r="G701" i="1"/>
  <c r="A701" i="1"/>
  <c r="AO700" i="1"/>
  <c r="N700" i="1"/>
  <c r="G700" i="1"/>
  <c r="A700" i="1"/>
  <c r="AO699" i="1"/>
  <c r="N699" i="1"/>
  <c r="G699" i="1"/>
  <c r="A699" i="1"/>
  <c r="AO698" i="1"/>
  <c r="N698" i="1"/>
  <c r="G698" i="1"/>
  <c r="A698" i="1"/>
  <c r="AO697" i="1"/>
  <c r="N697" i="1"/>
  <c r="G697" i="1"/>
  <c r="A697" i="1"/>
  <c r="AO696" i="1"/>
  <c r="N696" i="1"/>
  <c r="G696" i="1"/>
  <c r="A696" i="1"/>
  <c r="AO695" i="1"/>
  <c r="N695" i="1"/>
  <c r="G695" i="1"/>
  <c r="A695" i="1"/>
  <c r="AO694" i="1"/>
  <c r="N694" i="1"/>
  <c r="G694" i="1"/>
  <c r="A694" i="1"/>
  <c r="AO693" i="1"/>
  <c r="N693" i="1"/>
  <c r="G693" i="1"/>
  <c r="A693" i="1"/>
  <c r="AO692" i="1"/>
  <c r="N692" i="1"/>
  <c r="G692" i="1"/>
  <c r="A692" i="1"/>
  <c r="AO691" i="1"/>
  <c r="N691" i="1"/>
  <c r="G691" i="1"/>
  <c r="A691" i="1"/>
  <c r="AO690" i="1"/>
  <c r="N690" i="1"/>
  <c r="G690" i="1"/>
  <c r="A690" i="1"/>
  <c r="AO689" i="1"/>
  <c r="N689" i="1"/>
  <c r="G689" i="1"/>
  <c r="A689" i="1"/>
  <c r="AO688" i="1"/>
  <c r="N688" i="1"/>
  <c r="G688" i="1"/>
  <c r="A688" i="1"/>
  <c r="AO687" i="1"/>
  <c r="N687" i="1"/>
  <c r="G687" i="1"/>
  <c r="A687" i="1"/>
  <c r="AO686" i="1"/>
  <c r="N686" i="1"/>
  <c r="G686" i="1"/>
  <c r="A686" i="1"/>
  <c r="AO685" i="1"/>
  <c r="N685" i="1"/>
  <c r="G685" i="1"/>
  <c r="A685" i="1"/>
  <c r="AO684" i="1"/>
  <c r="N684" i="1"/>
  <c r="G684" i="1"/>
  <c r="A684" i="1"/>
  <c r="AO683" i="1"/>
  <c r="N683" i="1"/>
  <c r="G683" i="1"/>
  <c r="A683" i="1"/>
  <c r="AO682" i="1"/>
  <c r="N682" i="1"/>
  <c r="G682" i="1"/>
  <c r="A682" i="1"/>
  <c r="AO681" i="1"/>
  <c r="N681" i="1"/>
  <c r="G681" i="1"/>
  <c r="A681" i="1"/>
  <c r="AO680" i="1"/>
  <c r="N680" i="1"/>
  <c r="G680" i="1"/>
  <c r="A680" i="1"/>
  <c r="AO679" i="1"/>
  <c r="N679" i="1"/>
  <c r="G679" i="1"/>
  <c r="A679" i="1"/>
  <c r="AO678" i="1"/>
  <c r="N678" i="1"/>
  <c r="G678" i="1"/>
  <c r="A678" i="1"/>
  <c r="AO677" i="1"/>
  <c r="N677" i="1"/>
  <c r="G677" i="1"/>
  <c r="A677" i="1"/>
  <c r="AO676" i="1"/>
  <c r="N676" i="1"/>
  <c r="G676" i="1"/>
  <c r="A676" i="1"/>
  <c r="AO675" i="1"/>
  <c r="N675" i="1"/>
  <c r="G675" i="1"/>
  <c r="A675" i="1"/>
  <c r="AO674" i="1"/>
  <c r="N674" i="1"/>
  <c r="G674" i="1"/>
  <c r="A674" i="1"/>
  <c r="AO673" i="1"/>
  <c r="N673" i="1"/>
  <c r="G673" i="1"/>
  <c r="A673" i="1"/>
  <c r="AO672" i="1"/>
  <c r="N672" i="1"/>
  <c r="G672" i="1"/>
  <c r="A672" i="1"/>
  <c r="AO671" i="1"/>
  <c r="N671" i="1"/>
  <c r="G671" i="1"/>
  <c r="A671" i="1"/>
  <c r="AO670" i="1"/>
  <c r="N670" i="1"/>
  <c r="G670" i="1"/>
  <c r="A670" i="1"/>
  <c r="AO669" i="1"/>
  <c r="N669" i="1"/>
  <c r="G669" i="1"/>
  <c r="A669" i="1"/>
  <c r="AO668" i="1"/>
  <c r="N668" i="1"/>
  <c r="G668" i="1"/>
  <c r="A668" i="1"/>
  <c r="AO667" i="1"/>
  <c r="N667" i="1"/>
  <c r="G667" i="1"/>
  <c r="A667" i="1"/>
  <c r="AO666" i="1"/>
  <c r="N666" i="1"/>
  <c r="G666" i="1"/>
  <c r="A666" i="1"/>
  <c r="AO665" i="1"/>
  <c r="N665" i="1"/>
  <c r="G665" i="1"/>
  <c r="A665" i="1"/>
  <c r="AO664" i="1"/>
  <c r="N664" i="1"/>
  <c r="G664" i="1"/>
  <c r="A664" i="1"/>
  <c r="AO663" i="1"/>
  <c r="N663" i="1"/>
  <c r="G663" i="1"/>
  <c r="A663" i="1"/>
  <c r="AO662" i="1"/>
  <c r="N662" i="1"/>
  <c r="G662" i="1"/>
  <c r="A662" i="1"/>
  <c r="AO661" i="1"/>
  <c r="N661" i="1"/>
  <c r="G661" i="1"/>
  <c r="A661" i="1"/>
  <c r="AO660" i="1"/>
  <c r="N660" i="1"/>
  <c r="G660" i="1"/>
  <c r="A660" i="1"/>
  <c r="AO659" i="1"/>
  <c r="N659" i="1"/>
  <c r="G659" i="1"/>
  <c r="A659" i="1"/>
  <c r="AO658" i="1"/>
  <c r="N658" i="1"/>
  <c r="G658" i="1"/>
  <c r="A658" i="1"/>
  <c r="AO657" i="1"/>
  <c r="N657" i="1"/>
  <c r="G657" i="1"/>
  <c r="A657" i="1"/>
  <c r="AO656" i="1"/>
  <c r="N656" i="1"/>
  <c r="G656" i="1"/>
  <c r="A656" i="1"/>
  <c r="AO655" i="1"/>
  <c r="N655" i="1"/>
  <c r="G655" i="1"/>
  <c r="A655" i="1"/>
  <c r="AO654" i="1"/>
  <c r="N654" i="1"/>
  <c r="G654" i="1"/>
  <c r="A654" i="1"/>
  <c r="AO653" i="1"/>
  <c r="N653" i="1"/>
  <c r="G653" i="1"/>
  <c r="A653" i="1"/>
  <c r="AO652" i="1"/>
  <c r="N652" i="1"/>
  <c r="G652" i="1"/>
  <c r="A652" i="1"/>
  <c r="AO651" i="1"/>
  <c r="N651" i="1"/>
  <c r="G651" i="1"/>
  <c r="A651" i="1"/>
  <c r="AO650" i="1"/>
  <c r="N650" i="1"/>
  <c r="G650" i="1"/>
  <c r="A650" i="1"/>
  <c r="AO649" i="1"/>
  <c r="N649" i="1"/>
  <c r="G649" i="1"/>
  <c r="A649" i="1"/>
  <c r="AO648" i="1"/>
  <c r="N648" i="1"/>
  <c r="G648" i="1"/>
  <c r="A648" i="1"/>
  <c r="AO647" i="1"/>
  <c r="N647" i="1"/>
  <c r="G647" i="1"/>
  <c r="A647" i="1"/>
  <c r="AO646" i="1"/>
  <c r="N646" i="1"/>
  <c r="G646" i="1"/>
  <c r="A646" i="1"/>
  <c r="AO645" i="1"/>
  <c r="N645" i="1"/>
  <c r="G645" i="1"/>
  <c r="A645" i="1"/>
  <c r="AO644" i="1"/>
  <c r="N644" i="1"/>
  <c r="G644" i="1"/>
  <c r="A644" i="1"/>
  <c r="AO643" i="1"/>
  <c r="N643" i="1"/>
  <c r="G643" i="1"/>
  <c r="A643" i="1"/>
  <c r="AO642" i="1"/>
  <c r="N642" i="1"/>
  <c r="G642" i="1"/>
  <c r="A642" i="1"/>
  <c r="AO641" i="1"/>
  <c r="N641" i="1"/>
  <c r="G641" i="1"/>
  <c r="A641" i="1"/>
  <c r="AO640" i="1"/>
  <c r="N640" i="1"/>
  <c r="G640" i="1"/>
  <c r="A640" i="1"/>
  <c r="AO639" i="1"/>
  <c r="N639" i="1"/>
  <c r="G639" i="1"/>
  <c r="A639" i="1"/>
  <c r="AO638" i="1"/>
  <c r="N638" i="1"/>
  <c r="G638" i="1"/>
  <c r="A638" i="1"/>
  <c r="AO637" i="1"/>
  <c r="N637" i="1"/>
  <c r="G637" i="1"/>
  <c r="A637" i="1"/>
  <c r="AO636" i="1"/>
  <c r="N636" i="1"/>
  <c r="G636" i="1"/>
  <c r="A636" i="1"/>
  <c r="AO635" i="1"/>
  <c r="N635" i="1"/>
  <c r="G635" i="1"/>
  <c r="A635" i="1"/>
  <c r="AO634" i="1"/>
  <c r="N634" i="1"/>
  <c r="G634" i="1"/>
  <c r="A634" i="1"/>
  <c r="AO633" i="1"/>
  <c r="N633" i="1"/>
  <c r="G633" i="1"/>
  <c r="A633" i="1"/>
  <c r="AO632" i="1"/>
  <c r="N632" i="1"/>
  <c r="G632" i="1"/>
  <c r="A632" i="1"/>
  <c r="AO631" i="1"/>
  <c r="N631" i="1"/>
  <c r="G631" i="1"/>
  <c r="A631" i="1"/>
  <c r="AO630" i="1"/>
  <c r="N630" i="1"/>
  <c r="G630" i="1"/>
  <c r="A630" i="1"/>
  <c r="AO629" i="1"/>
  <c r="N629" i="1"/>
  <c r="G629" i="1"/>
  <c r="A629" i="1"/>
  <c r="AO628" i="1"/>
  <c r="N628" i="1"/>
  <c r="G628" i="1"/>
  <c r="A628" i="1"/>
  <c r="AO627" i="1"/>
  <c r="N627" i="1"/>
  <c r="G627" i="1"/>
  <c r="A627" i="1"/>
  <c r="AO626" i="1"/>
  <c r="N626" i="1"/>
  <c r="G626" i="1"/>
  <c r="A626" i="1"/>
  <c r="AO625" i="1"/>
  <c r="N625" i="1"/>
  <c r="G625" i="1"/>
  <c r="A625" i="1"/>
  <c r="AO624" i="1"/>
  <c r="N624" i="1"/>
  <c r="G624" i="1"/>
  <c r="A624" i="1"/>
  <c r="AO623" i="1"/>
  <c r="N623" i="1"/>
  <c r="G623" i="1"/>
  <c r="A623" i="1"/>
  <c r="AO622" i="1"/>
  <c r="N622" i="1"/>
  <c r="G622" i="1"/>
  <c r="A622" i="1"/>
  <c r="AO621" i="1"/>
  <c r="N621" i="1"/>
  <c r="G621" i="1"/>
  <c r="A621" i="1"/>
  <c r="AO620" i="1"/>
  <c r="N620" i="1"/>
  <c r="G620" i="1"/>
  <c r="A620" i="1"/>
  <c r="AO619" i="1"/>
  <c r="N619" i="1"/>
  <c r="G619" i="1"/>
  <c r="A619" i="1"/>
  <c r="AO618" i="1"/>
  <c r="N618" i="1"/>
  <c r="G618" i="1"/>
  <c r="A618" i="1"/>
  <c r="AO617" i="1"/>
  <c r="N617" i="1"/>
  <c r="G617" i="1"/>
  <c r="A617" i="1"/>
  <c r="AO616" i="1"/>
  <c r="N616" i="1"/>
  <c r="G616" i="1"/>
  <c r="A616" i="1"/>
  <c r="AO615" i="1"/>
  <c r="N615" i="1"/>
  <c r="G615" i="1"/>
  <c r="A615" i="1"/>
  <c r="AO614" i="1"/>
  <c r="N614" i="1"/>
  <c r="G614" i="1"/>
  <c r="A614" i="1"/>
  <c r="AO613" i="1"/>
  <c r="N613" i="1"/>
  <c r="G613" i="1"/>
  <c r="A613" i="1"/>
  <c r="AO612" i="1"/>
  <c r="N612" i="1"/>
  <c r="G612" i="1"/>
  <c r="A612" i="1"/>
  <c r="AO611" i="1"/>
  <c r="N611" i="1"/>
  <c r="G611" i="1"/>
  <c r="A611" i="1"/>
  <c r="AO610" i="1"/>
  <c r="N610" i="1"/>
  <c r="G610" i="1"/>
  <c r="A610" i="1"/>
  <c r="AO609" i="1"/>
  <c r="N609" i="1"/>
  <c r="G609" i="1"/>
  <c r="A609" i="1"/>
  <c r="AO608" i="1"/>
  <c r="N608" i="1"/>
  <c r="G608" i="1"/>
  <c r="A608" i="1"/>
  <c r="AO607" i="1"/>
  <c r="N607" i="1"/>
  <c r="G607" i="1"/>
  <c r="A607" i="1"/>
  <c r="AO606" i="1"/>
  <c r="N606" i="1"/>
  <c r="G606" i="1"/>
  <c r="A606" i="1"/>
  <c r="AO605" i="1"/>
  <c r="N605" i="1"/>
  <c r="G605" i="1"/>
  <c r="A605" i="1"/>
  <c r="AO604" i="1"/>
  <c r="N604" i="1"/>
  <c r="G604" i="1"/>
  <c r="A604" i="1"/>
  <c r="AO603" i="1"/>
  <c r="N603" i="1"/>
  <c r="G603" i="1"/>
  <c r="A603" i="1"/>
  <c r="AO602" i="1"/>
  <c r="N602" i="1"/>
  <c r="G602" i="1"/>
  <c r="A602" i="1"/>
  <c r="AO601" i="1"/>
  <c r="N601" i="1"/>
  <c r="G601" i="1"/>
  <c r="A601" i="1"/>
  <c r="AO600" i="1"/>
  <c r="N600" i="1"/>
  <c r="G600" i="1"/>
  <c r="A600" i="1"/>
  <c r="AO599" i="1"/>
  <c r="N599" i="1"/>
  <c r="G599" i="1"/>
  <c r="A599" i="1"/>
  <c r="AO598" i="1"/>
  <c r="N598" i="1"/>
  <c r="G598" i="1"/>
  <c r="A598" i="1"/>
  <c r="AO597" i="1"/>
  <c r="N597" i="1"/>
  <c r="G597" i="1"/>
  <c r="A597" i="1"/>
  <c r="AO596" i="1"/>
  <c r="N596" i="1"/>
  <c r="G596" i="1"/>
  <c r="A596" i="1"/>
  <c r="AO595" i="1"/>
  <c r="N595" i="1"/>
  <c r="G595" i="1"/>
  <c r="A595" i="1"/>
  <c r="AO594" i="1"/>
  <c r="N594" i="1"/>
  <c r="G594" i="1"/>
  <c r="A594" i="1"/>
  <c r="AO593" i="1"/>
  <c r="N593" i="1"/>
  <c r="G593" i="1"/>
  <c r="A593" i="1"/>
  <c r="AO592" i="1"/>
  <c r="N592" i="1"/>
  <c r="G592" i="1"/>
  <c r="A592" i="1"/>
  <c r="AO591" i="1"/>
  <c r="N591" i="1"/>
  <c r="G591" i="1"/>
  <c r="A591" i="1"/>
  <c r="AO590" i="1"/>
  <c r="N590" i="1"/>
  <c r="G590" i="1"/>
  <c r="A590" i="1"/>
  <c r="AO589" i="1"/>
  <c r="N589" i="1"/>
  <c r="G589" i="1"/>
  <c r="A589" i="1"/>
  <c r="AO588" i="1"/>
  <c r="N588" i="1"/>
  <c r="G588" i="1"/>
  <c r="A588" i="1"/>
  <c r="AO587" i="1"/>
  <c r="N587" i="1"/>
  <c r="G587" i="1"/>
  <c r="A587" i="1"/>
  <c r="AO586" i="1"/>
  <c r="N586" i="1"/>
  <c r="G586" i="1"/>
  <c r="A586" i="1"/>
  <c r="AO585" i="1"/>
  <c r="N585" i="1"/>
  <c r="G585" i="1"/>
  <c r="A585" i="1"/>
  <c r="AO584" i="1"/>
  <c r="N584" i="1"/>
  <c r="G584" i="1"/>
  <c r="A584" i="1"/>
  <c r="AO583" i="1"/>
  <c r="N583" i="1"/>
  <c r="G583" i="1"/>
  <c r="A583" i="1"/>
  <c r="AO582" i="1"/>
  <c r="N582" i="1"/>
  <c r="G582" i="1"/>
  <c r="A582" i="1"/>
  <c r="AO581" i="1"/>
  <c r="N581" i="1"/>
  <c r="G581" i="1"/>
  <c r="A581" i="1"/>
  <c r="AO580" i="1"/>
  <c r="N580" i="1"/>
  <c r="G580" i="1"/>
  <c r="A580" i="1"/>
  <c r="AO579" i="1"/>
  <c r="N579" i="1"/>
  <c r="G579" i="1"/>
  <c r="A579" i="1"/>
  <c r="AO578" i="1"/>
  <c r="N578" i="1"/>
  <c r="G578" i="1"/>
  <c r="A578" i="1"/>
  <c r="AO577" i="1"/>
  <c r="N577" i="1"/>
  <c r="G577" i="1"/>
  <c r="A577" i="1"/>
  <c r="AO576" i="1"/>
  <c r="N576" i="1"/>
  <c r="G576" i="1"/>
  <c r="A576" i="1"/>
  <c r="AO575" i="1"/>
  <c r="N575" i="1"/>
  <c r="G575" i="1"/>
  <c r="A575" i="1"/>
  <c r="AO574" i="1"/>
  <c r="N574" i="1"/>
  <c r="G574" i="1"/>
  <c r="A574" i="1"/>
  <c r="AO573" i="1"/>
  <c r="N573" i="1"/>
  <c r="G573" i="1"/>
  <c r="A573" i="1"/>
  <c r="AO572" i="1"/>
  <c r="N572" i="1"/>
  <c r="G572" i="1"/>
  <c r="A572" i="1"/>
  <c r="AO571" i="1"/>
  <c r="N571" i="1"/>
  <c r="G571" i="1"/>
  <c r="A571" i="1"/>
  <c r="AO570" i="1"/>
  <c r="N570" i="1"/>
  <c r="G570" i="1"/>
  <c r="A570" i="1"/>
  <c r="AO569" i="1"/>
  <c r="N569" i="1"/>
  <c r="G569" i="1"/>
  <c r="A569" i="1"/>
  <c r="AO568" i="1"/>
  <c r="N568" i="1"/>
  <c r="G568" i="1"/>
  <c r="A568" i="1"/>
  <c r="AO567" i="1"/>
  <c r="N567" i="1"/>
  <c r="G567" i="1"/>
  <c r="A567" i="1"/>
  <c r="AO566" i="1"/>
  <c r="N566" i="1"/>
  <c r="G566" i="1"/>
  <c r="A566" i="1"/>
  <c r="AO565" i="1"/>
  <c r="N565" i="1"/>
  <c r="G565" i="1"/>
  <c r="A565" i="1"/>
  <c r="AO564" i="1"/>
  <c r="N564" i="1"/>
  <c r="G564" i="1"/>
  <c r="A564" i="1"/>
  <c r="AO563" i="1"/>
  <c r="N563" i="1"/>
  <c r="G563" i="1"/>
  <c r="A563" i="1"/>
  <c r="AO562" i="1"/>
  <c r="N562" i="1"/>
  <c r="G562" i="1"/>
  <c r="A562" i="1"/>
  <c r="AO561" i="1"/>
  <c r="N561" i="1"/>
  <c r="G561" i="1"/>
  <c r="A561" i="1"/>
  <c r="AO560" i="1"/>
  <c r="N560" i="1"/>
  <c r="G560" i="1"/>
  <c r="A560" i="1"/>
  <c r="AO559" i="1"/>
  <c r="N559" i="1"/>
  <c r="G559" i="1"/>
  <c r="A559" i="1"/>
  <c r="AO558" i="1"/>
  <c r="N558" i="1"/>
  <c r="G558" i="1"/>
  <c r="A558" i="1"/>
  <c r="AO557" i="1"/>
  <c r="N557" i="1"/>
  <c r="G557" i="1"/>
  <c r="A557" i="1"/>
  <c r="AO556" i="1"/>
  <c r="N556" i="1"/>
  <c r="G556" i="1"/>
  <c r="A556" i="1"/>
  <c r="AO555" i="1"/>
  <c r="N555" i="1"/>
  <c r="G555" i="1"/>
  <c r="A555" i="1"/>
  <c r="AO554" i="1"/>
  <c r="N554" i="1"/>
  <c r="G554" i="1"/>
  <c r="A554" i="1"/>
  <c r="AO553" i="1"/>
  <c r="N553" i="1"/>
  <c r="G553" i="1"/>
  <c r="A553" i="1"/>
  <c r="AO552" i="1"/>
  <c r="N552" i="1"/>
  <c r="G552" i="1"/>
  <c r="A552" i="1"/>
  <c r="AO551" i="1"/>
  <c r="N551" i="1"/>
  <c r="G551" i="1"/>
  <c r="A551" i="1"/>
  <c r="AO550" i="1"/>
  <c r="N550" i="1"/>
  <c r="G550" i="1"/>
  <c r="A550" i="1"/>
  <c r="AO549" i="1"/>
  <c r="N549" i="1"/>
  <c r="G549" i="1"/>
  <c r="A549" i="1"/>
  <c r="AO548" i="1"/>
  <c r="N548" i="1"/>
  <c r="G548" i="1"/>
  <c r="A548" i="1"/>
  <c r="AO547" i="1"/>
  <c r="N547" i="1"/>
  <c r="G547" i="1"/>
  <c r="A547" i="1"/>
  <c r="AO546" i="1"/>
  <c r="N546" i="1"/>
  <c r="G546" i="1"/>
  <c r="A546" i="1"/>
  <c r="AO545" i="1"/>
  <c r="N545" i="1"/>
  <c r="G545" i="1"/>
  <c r="A545" i="1"/>
  <c r="AO544" i="1"/>
  <c r="N544" i="1"/>
  <c r="G544" i="1"/>
  <c r="A544" i="1"/>
  <c r="AO543" i="1"/>
  <c r="N543" i="1"/>
  <c r="G543" i="1"/>
  <c r="A543" i="1"/>
  <c r="AO542" i="1"/>
  <c r="N542" i="1"/>
  <c r="G542" i="1"/>
  <c r="A542" i="1"/>
  <c r="AO541" i="1"/>
  <c r="N541" i="1"/>
  <c r="G541" i="1"/>
  <c r="A541" i="1"/>
  <c r="AO540" i="1"/>
  <c r="N540" i="1"/>
  <c r="G540" i="1"/>
  <c r="A540" i="1"/>
  <c r="AO539" i="1"/>
  <c r="N539" i="1"/>
  <c r="G539" i="1"/>
  <c r="A539" i="1"/>
  <c r="AO538" i="1"/>
  <c r="N538" i="1"/>
  <c r="G538" i="1"/>
  <c r="A538" i="1"/>
  <c r="AO537" i="1"/>
  <c r="N537" i="1"/>
  <c r="G537" i="1"/>
  <c r="A537" i="1"/>
  <c r="AO536" i="1"/>
  <c r="N536" i="1"/>
  <c r="G536" i="1"/>
  <c r="A536" i="1"/>
  <c r="AO535" i="1"/>
  <c r="N535" i="1"/>
  <c r="G535" i="1"/>
  <c r="A535" i="1"/>
  <c r="AO534" i="1"/>
  <c r="N534" i="1"/>
  <c r="G534" i="1"/>
  <c r="A534" i="1"/>
  <c r="AO533" i="1"/>
  <c r="N533" i="1"/>
  <c r="G533" i="1"/>
  <c r="A533" i="1"/>
  <c r="AO532" i="1"/>
  <c r="N532" i="1"/>
  <c r="G532" i="1"/>
  <c r="A532" i="1"/>
  <c r="AO531" i="1"/>
  <c r="N531" i="1"/>
  <c r="G531" i="1"/>
  <c r="A531" i="1"/>
  <c r="AO530" i="1"/>
  <c r="N530" i="1"/>
  <c r="G530" i="1"/>
  <c r="A530" i="1"/>
  <c r="AO529" i="1"/>
  <c r="N529" i="1"/>
  <c r="G529" i="1"/>
  <c r="A529" i="1"/>
  <c r="AO528" i="1"/>
  <c r="N528" i="1"/>
  <c r="G528" i="1"/>
  <c r="A528" i="1"/>
  <c r="AO527" i="1"/>
  <c r="N527" i="1"/>
  <c r="G527" i="1"/>
  <c r="A527" i="1"/>
  <c r="AO526" i="1"/>
  <c r="N526" i="1"/>
  <c r="G526" i="1"/>
  <c r="A526" i="1"/>
  <c r="AO525" i="1"/>
  <c r="N525" i="1"/>
  <c r="G525" i="1"/>
  <c r="A525" i="1"/>
  <c r="AO524" i="1"/>
  <c r="N524" i="1"/>
  <c r="G524" i="1"/>
  <c r="A524" i="1"/>
  <c r="AO523" i="1"/>
  <c r="N523" i="1"/>
  <c r="G523" i="1"/>
  <c r="A523" i="1"/>
  <c r="AO522" i="1"/>
  <c r="N522" i="1"/>
  <c r="G522" i="1"/>
  <c r="A522" i="1"/>
  <c r="AO521" i="1"/>
  <c r="N521" i="1"/>
  <c r="G521" i="1"/>
  <c r="A521" i="1"/>
  <c r="AO520" i="1"/>
  <c r="N520" i="1"/>
  <c r="G520" i="1"/>
  <c r="A520" i="1"/>
  <c r="AO519" i="1"/>
  <c r="N519" i="1"/>
  <c r="G519" i="1"/>
  <c r="A519" i="1"/>
  <c r="AO518" i="1"/>
  <c r="N518" i="1"/>
  <c r="G518" i="1"/>
  <c r="A518" i="1"/>
  <c r="AO517" i="1"/>
  <c r="N517" i="1"/>
  <c r="G517" i="1"/>
  <c r="A517" i="1"/>
  <c r="AO516" i="1"/>
  <c r="N516" i="1"/>
  <c r="G516" i="1"/>
  <c r="A516" i="1"/>
  <c r="AO515" i="1"/>
  <c r="N515" i="1"/>
  <c r="G515" i="1"/>
  <c r="A515" i="1"/>
  <c r="AO514" i="1"/>
  <c r="N514" i="1"/>
  <c r="G514" i="1"/>
  <c r="A514" i="1"/>
  <c r="AO513" i="1"/>
  <c r="N513" i="1"/>
  <c r="G513" i="1"/>
  <c r="A513" i="1"/>
  <c r="AO512" i="1"/>
  <c r="N512" i="1"/>
  <c r="G512" i="1"/>
  <c r="A512" i="1"/>
  <c r="AO511" i="1"/>
  <c r="N511" i="1"/>
  <c r="G511" i="1"/>
  <c r="A511" i="1"/>
  <c r="AO510" i="1"/>
  <c r="N510" i="1"/>
  <c r="G510" i="1"/>
  <c r="A510" i="1"/>
  <c r="AO509" i="1"/>
  <c r="N509" i="1"/>
  <c r="G509" i="1"/>
  <c r="A509" i="1"/>
  <c r="AO508" i="1"/>
  <c r="N508" i="1"/>
  <c r="G508" i="1"/>
  <c r="A508" i="1"/>
  <c r="AO507" i="1"/>
  <c r="N507" i="1"/>
  <c r="G507" i="1"/>
  <c r="A507" i="1"/>
  <c r="AO506" i="1"/>
  <c r="N506" i="1"/>
  <c r="G506" i="1"/>
  <c r="A506" i="1"/>
  <c r="AO505" i="1"/>
  <c r="N505" i="1"/>
  <c r="G505" i="1"/>
  <c r="A505" i="1"/>
  <c r="AO504" i="1"/>
  <c r="N504" i="1"/>
  <c r="G504" i="1"/>
  <c r="A504" i="1"/>
  <c r="AO503" i="1"/>
  <c r="N503" i="1"/>
  <c r="G503" i="1"/>
  <c r="A503" i="1"/>
  <c r="AO502" i="1"/>
  <c r="N502" i="1"/>
  <c r="G502" i="1"/>
  <c r="A502" i="1"/>
  <c r="AO501" i="1"/>
  <c r="N501" i="1"/>
  <c r="G501" i="1"/>
  <c r="A501" i="1"/>
  <c r="AO500" i="1"/>
  <c r="N500" i="1"/>
  <c r="G500" i="1"/>
  <c r="A500" i="1"/>
  <c r="AO499" i="1"/>
  <c r="N499" i="1"/>
  <c r="G499" i="1"/>
  <c r="A499" i="1"/>
  <c r="AO498" i="1"/>
  <c r="N498" i="1"/>
  <c r="G498" i="1"/>
  <c r="A498" i="1"/>
  <c r="AO497" i="1"/>
  <c r="N497" i="1"/>
  <c r="G497" i="1"/>
  <c r="A497" i="1"/>
  <c r="AO496" i="1"/>
  <c r="N496" i="1"/>
  <c r="G496" i="1"/>
  <c r="A496" i="1"/>
  <c r="AO495" i="1"/>
  <c r="N495" i="1"/>
  <c r="G495" i="1"/>
  <c r="A495" i="1"/>
  <c r="AO494" i="1"/>
  <c r="N494" i="1"/>
  <c r="G494" i="1"/>
  <c r="A494" i="1"/>
  <c r="AO493" i="1"/>
  <c r="N493" i="1"/>
  <c r="G493" i="1"/>
  <c r="A493" i="1"/>
  <c r="AO492" i="1"/>
  <c r="N492" i="1"/>
  <c r="G492" i="1"/>
  <c r="A492" i="1"/>
  <c r="AO491" i="1"/>
  <c r="N491" i="1"/>
  <c r="G491" i="1"/>
  <c r="A491" i="1"/>
  <c r="AO490" i="1"/>
  <c r="N490" i="1"/>
  <c r="G490" i="1"/>
  <c r="A490" i="1"/>
  <c r="AO489" i="1"/>
  <c r="N489" i="1"/>
  <c r="G489" i="1"/>
  <c r="A489" i="1"/>
  <c r="AO488" i="1"/>
  <c r="N488" i="1"/>
  <c r="G488" i="1"/>
  <c r="A488" i="1"/>
  <c r="AO487" i="1"/>
  <c r="N487" i="1"/>
  <c r="G487" i="1"/>
  <c r="A487" i="1"/>
  <c r="AO486" i="1"/>
  <c r="N486" i="1"/>
  <c r="G486" i="1"/>
  <c r="A486" i="1"/>
  <c r="AO485" i="1"/>
  <c r="N485" i="1"/>
  <c r="G485" i="1"/>
  <c r="A485" i="1"/>
  <c r="AO484" i="1"/>
  <c r="N484" i="1"/>
  <c r="G484" i="1"/>
  <c r="A484" i="1"/>
  <c r="AO483" i="1"/>
  <c r="N483" i="1"/>
  <c r="G483" i="1"/>
  <c r="A483" i="1"/>
  <c r="AO482" i="1"/>
  <c r="N482" i="1"/>
  <c r="G482" i="1"/>
  <c r="A482" i="1"/>
  <c r="AO481" i="1"/>
  <c r="N481" i="1"/>
  <c r="G481" i="1"/>
  <c r="A481" i="1"/>
  <c r="AO480" i="1"/>
  <c r="N480" i="1"/>
  <c r="G480" i="1"/>
  <c r="A480" i="1"/>
  <c r="AO479" i="1"/>
  <c r="N479" i="1"/>
  <c r="G479" i="1"/>
  <c r="A479" i="1"/>
  <c r="AO478" i="1"/>
  <c r="N478" i="1"/>
  <c r="G478" i="1"/>
  <c r="A478" i="1"/>
  <c r="AO477" i="1"/>
  <c r="N477" i="1"/>
  <c r="G477" i="1"/>
  <c r="A477" i="1"/>
  <c r="AO476" i="1"/>
  <c r="N476" i="1"/>
  <c r="G476" i="1"/>
  <c r="A476" i="1"/>
  <c r="AO475" i="1"/>
  <c r="N475" i="1"/>
  <c r="G475" i="1"/>
  <c r="A475" i="1"/>
  <c r="AO474" i="1"/>
  <c r="N474" i="1"/>
  <c r="G474" i="1"/>
  <c r="A474" i="1"/>
  <c r="AO473" i="1"/>
  <c r="N473" i="1"/>
  <c r="G473" i="1"/>
  <c r="A473" i="1"/>
  <c r="AO472" i="1"/>
  <c r="N472" i="1"/>
  <c r="G472" i="1"/>
  <c r="A472" i="1"/>
  <c r="AO471" i="1"/>
  <c r="N471" i="1"/>
  <c r="G471" i="1"/>
  <c r="A471" i="1"/>
  <c r="AO470" i="1"/>
  <c r="N470" i="1"/>
  <c r="G470" i="1"/>
  <c r="A470" i="1"/>
  <c r="AO469" i="1"/>
  <c r="N469" i="1"/>
  <c r="G469" i="1"/>
  <c r="A469" i="1"/>
  <c r="AO468" i="1"/>
  <c r="N468" i="1"/>
  <c r="G468" i="1"/>
  <c r="A468" i="1"/>
  <c r="AO467" i="1"/>
  <c r="N467" i="1"/>
  <c r="G467" i="1"/>
  <c r="A467" i="1"/>
  <c r="AO466" i="1"/>
  <c r="N466" i="1"/>
  <c r="G466" i="1"/>
  <c r="A466" i="1"/>
  <c r="AO465" i="1"/>
  <c r="N465" i="1"/>
  <c r="G465" i="1"/>
  <c r="A465" i="1"/>
  <c r="AO464" i="1"/>
  <c r="N464" i="1"/>
  <c r="G464" i="1"/>
  <c r="A464" i="1"/>
  <c r="AO463" i="1"/>
  <c r="N463" i="1"/>
  <c r="G463" i="1"/>
  <c r="A463" i="1"/>
  <c r="AO462" i="1"/>
  <c r="N462" i="1"/>
  <c r="G462" i="1"/>
  <c r="A462" i="1"/>
  <c r="AO461" i="1"/>
  <c r="N461" i="1"/>
  <c r="G461" i="1"/>
  <c r="A461" i="1"/>
  <c r="AO460" i="1"/>
  <c r="N460" i="1"/>
  <c r="G460" i="1"/>
  <c r="A460" i="1"/>
  <c r="AO459" i="1"/>
  <c r="N459" i="1"/>
  <c r="G459" i="1"/>
  <c r="A459" i="1"/>
  <c r="AO458" i="1"/>
  <c r="N458" i="1"/>
  <c r="G458" i="1"/>
  <c r="A458" i="1"/>
  <c r="AO457" i="1"/>
  <c r="N457" i="1"/>
  <c r="G457" i="1"/>
  <c r="A457" i="1"/>
  <c r="AO456" i="1"/>
  <c r="N456" i="1"/>
  <c r="G456" i="1"/>
  <c r="A456" i="1"/>
  <c r="AO455" i="1"/>
  <c r="N455" i="1"/>
  <c r="G455" i="1"/>
  <c r="A455" i="1"/>
  <c r="AO454" i="1"/>
  <c r="N454" i="1"/>
  <c r="G454" i="1"/>
  <c r="A454" i="1"/>
  <c r="AO453" i="1"/>
  <c r="N453" i="1"/>
  <c r="G453" i="1"/>
  <c r="A453" i="1"/>
  <c r="AO452" i="1"/>
  <c r="N452" i="1"/>
  <c r="G452" i="1"/>
  <c r="A452" i="1"/>
  <c r="AO451" i="1"/>
  <c r="N451" i="1"/>
  <c r="G451" i="1"/>
  <c r="A451" i="1"/>
  <c r="AO450" i="1"/>
  <c r="N450" i="1"/>
  <c r="G450" i="1"/>
  <c r="A450" i="1"/>
  <c r="AO449" i="1"/>
  <c r="N449" i="1"/>
  <c r="G449" i="1"/>
  <c r="A449" i="1"/>
  <c r="AO448" i="1"/>
  <c r="N448" i="1"/>
  <c r="G448" i="1"/>
  <c r="A448" i="1"/>
  <c r="AO447" i="1"/>
  <c r="N447" i="1"/>
  <c r="G447" i="1"/>
  <c r="A447" i="1"/>
  <c r="AO446" i="1"/>
  <c r="N446" i="1"/>
  <c r="G446" i="1"/>
  <c r="A446" i="1"/>
  <c r="AO445" i="1"/>
  <c r="N445" i="1"/>
  <c r="G445" i="1"/>
  <c r="A445" i="1"/>
  <c r="AO444" i="1"/>
  <c r="N444" i="1"/>
  <c r="G444" i="1"/>
  <c r="A444" i="1"/>
  <c r="AO443" i="1"/>
  <c r="N443" i="1"/>
  <c r="G443" i="1"/>
  <c r="A443" i="1"/>
  <c r="AO442" i="1"/>
  <c r="N442" i="1"/>
  <c r="G442" i="1"/>
  <c r="A442" i="1"/>
  <c r="AO441" i="1"/>
  <c r="N441" i="1"/>
  <c r="G441" i="1"/>
  <c r="A441" i="1"/>
  <c r="AO440" i="1"/>
  <c r="N440" i="1"/>
  <c r="G440" i="1"/>
  <c r="A440" i="1"/>
  <c r="AO439" i="1"/>
  <c r="N439" i="1"/>
  <c r="G439" i="1"/>
  <c r="A439" i="1"/>
  <c r="AO438" i="1"/>
  <c r="N438" i="1"/>
  <c r="G438" i="1"/>
  <c r="A438" i="1"/>
  <c r="AO437" i="1"/>
  <c r="N437" i="1"/>
  <c r="G437" i="1"/>
  <c r="A437" i="1"/>
  <c r="AO436" i="1"/>
  <c r="N436" i="1"/>
  <c r="G436" i="1"/>
  <c r="A436" i="1"/>
  <c r="AO435" i="1"/>
  <c r="N435" i="1"/>
  <c r="G435" i="1"/>
  <c r="A435" i="1"/>
  <c r="AO434" i="1"/>
  <c r="N434" i="1"/>
  <c r="G434" i="1"/>
  <c r="A434" i="1"/>
  <c r="AO433" i="1"/>
  <c r="N433" i="1"/>
  <c r="G433" i="1"/>
  <c r="A433" i="1"/>
  <c r="AO432" i="1"/>
  <c r="N432" i="1"/>
  <c r="G432" i="1"/>
  <c r="A432" i="1"/>
  <c r="AO431" i="1"/>
  <c r="N431" i="1"/>
  <c r="G431" i="1"/>
  <c r="A431" i="1"/>
  <c r="AO430" i="1"/>
  <c r="N430" i="1"/>
  <c r="G430" i="1"/>
  <c r="A430" i="1"/>
  <c r="AO429" i="1"/>
  <c r="N429" i="1"/>
  <c r="G429" i="1"/>
  <c r="A429" i="1"/>
  <c r="AO428" i="1"/>
  <c r="N428" i="1"/>
  <c r="G428" i="1"/>
  <c r="A428" i="1"/>
  <c r="AO427" i="1"/>
  <c r="N427" i="1"/>
  <c r="G427" i="1"/>
  <c r="A427" i="1"/>
  <c r="AO426" i="1"/>
  <c r="N426" i="1"/>
  <c r="G426" i="1"/>
  <c r="A426" i="1"/>
  <c r="AO425" i="1"/>
  <c r="N425" i="1"/>
  <c r="G425" i="1"/>
  <c r="A425" i="1"/>
  <c r="AO424" i="1"/>
  <c r="N424" i="1"/>
  <c r="G424" i="1"/>
  <c r="A424" i="1"/>
  <c r="AO423" i="1"/>
  <c r="N423" i="1"/>
  <c r="G423" i="1"/>
  <c r="A423" i="1"/>
  <c r="AO422" i="1"/>
  <c r="N422" i="1"/>
  <c r="G422" i="1"/>
  <c r="A422" i="1"/>
  <c r="AO421" i="1"/>
  <c r="N421" i="1"/>
  <c r="G421" i="1"/>
  <c r="A421" i="1"/>
  <c r="AO420" i="1"/>
  <c r="N420" i="1"/>
  <c r="G420" i="1"/>
  <c r="A420" i="1"/>
  <c r="AO419" i="1"/>
  <c r="N419" i="1"/>
  <c r="G419" i="1"/>
  <c r="A419" i="1"/>
  <c r="AO418" i="1"/>
  <c r="N418" i="1"/>
  <c r="G418" i="1"/>
  <c r="A418" i="1"/>
  <c r="AO417" i="1"/>
  <c r="N417" i="1"/>
  <c r="G417" i="1"/>
  <c r="A417" i="1"/>
  <c r="AO416" i="1"/>
  <c r="N416" i="1"/>
  <c r="G416" i="1"/>
  <c r="A416" i="1"/>
  <c r="AO415" i="1"/>
  <c r="N415" i="1"/>
  <c r="G415" i="1"/>
  <c r="A415" i="1"/>
  <c r="AO414" i="1"/>
  <c r="N414" i="1"/>
  <c r="G414" i="1"/>
  <c r="A414" i="1"/>
  <c r="AO413" i="1"/>
  <c r="N413" i="1"/>
  <c r="G413" i="1"/>
  <c r="A413" i="1"/>
  <c r="AO412" i="1"/>
  <c r="N412" i="1"/>
  <c r="G412" i="1"/>
  <c r="A412" i="1"/>
  <c r="AO411" i="1"/>
  <c r="N411" i="1"/>
  <c r="G411" i="1"/>
  <c r="A411" i="1"/>
  <c r="AO410" i="1"/>
  <c r="N410" i="1"/>
  <c r="G410" i="1"/>
  <c r="A410" i="1"/>
  <c r="AO409" i="1"/>
  <c r="N409" i="1"/>
  <c r="G409" i="1"/>
  <c r="A409" i="1"/>
  <c r="AO408" i="1"/>
  <c r="N408" i="1"/>
  <c r="G408" i="1"/>
  <c r="A408" i="1"/>
  <c r="AO407" i="1"/>
  <c r="N407" i="1"/>
  <c r="G407" i="1"/>
  <c r="A407" i="1"/>
  <c r="AO406" i="1"/>
  <c r="N406" i="1"/>
  <c r="G406" i="1"/>
  <c r="A406" i="1"/>
  <c r="AO405" i="1"/>
  <c r="N405" i="1"/>
  <c r="G405" i="1"/>
  <c r="A405" i="1"/>
  <c r="AO404" i="1"/>
  <c r="N404" i="1"/>
  <c r="G404" i="1"/>
  <c r="A404" i="1"/>
  <c r="AO403" i="1"/>
  <c r="N403" i="1"/>
  <c r="G403" i="1"/>
  <c r="A403" i="1"/>
  <c r="AO402" i="1"/>
  <c r="N402" i="1"/>
  <c r="G402" i="1"/>
  <c r="A402" i="1"/>
  <c r="AO401" i="1"/>
  <c r="N401" i="1"/>
  <c r="G401" i="1"/>
  <c r="A401" i="1"/>
  <c r="AO400" i="1"/>
  <c r="N400" i="1"/>
  <c r="G400" i="1"/>
  <c r="A400" i="1"/>
  <c r="AO399" i="1"/>
  <c r="N399" i="1"/>
  <c r="G399" i="1"/>
  <c r="A399" i="1"/>
  <c r="AO398" i="1"/>
  <c r="N398" i="1"/>
  <c r="G398" i="1"/>
  <c r="A398" i="1"/>
  <c r="AO397" i="1"/>
  <c r="N397" i="1"/>
  <c r="G397" i="1"/>
  <c r="A397" i="1"/>
  <c r="AO396" i="1"/>
  <c r="N396" i="1"/>
  <c r="G396" i="1"/>
  <c r="A396" i="1"/>
  <c r="AO395" i="1"/>
  <c r="N395" i="1"/>
  <c r="G395" i="1"/>
  <c r="A395" i="1"/>
  <c r="AO394" i="1"/>
  <c r="N394" i="1"/>
  <c r="G394" i="1"/>
  <c r="A394" i="1"/>
  <c r="AO393" i="1"/>
  <c r="N393" i="1"/>
  <c r="G393" i="1"/>
  <c r="A393" i="1"/>
  <c r="AO392" i="1"/>
  <c r="N392" i="1"/>
  <c r="G392" i="1"/>
  <c r="A392" i="1"/>
  <c r="AO391" i="1"/>
  <c r="N391" i="1"/>
  <c r="G391" i="1"/>
  <c r="A391" i="1"/>
  <c r="AO390" i="1"/>
  <c r="N390" i="1"/>
  <c r="G390" i="1"/>
  <c r="A390" i="1"/>
  <c r="AO389" i="1"/>
  <c r="N389" i="1"/>
  <c r="G389" i="1"/>
  <c r="A389" i="1"/>
  <c r="AO388" i="1"/>
  <c r="N388" i="1"/>
  <c r="G388" i="1"/>
  <c r="A388" i="1"/>
  <c r="AO387" i="1"/>
  <c r="N387" i="1"/>
  <c r="G387" i="1"/>
  <c r="A387" i="1"/>
  <c r="AO386" i="1"/>
  <c r="N386" i="1"/>
  <c r="G386" i="1"/>
  <c r="A386" i="1"/>
  <c r="AO385" i="1"/>
  <c r="N385" i="1"/>
  <c r="G385" i="1"/>
  <c r="A385" i="1"/>
  <c r="AO384" i="1"/>
  <c r="N384" i="1"/>
  <c r="G384" i="1"/>
  <c r="A384" i="1"/>
  <c r="AO383" i="1"/>
  <c r="N383" i="1"/>
  <c r="G383" i="1"/>
  <c r="A383" i="1"/>
  <c r="AO382" i="1"/>
  <c r="N382" i="1"/>
  <c r="G382" i="1"/>
  <c r="A382" i="1"/>
  <c r="AO381" i="1"/>
  <c r="N381" i="1"/>
  <c r="G381" i="1"/>
  <c r="A381" i="1"/>
  <c r="AO380" i="1"/>
  <c r="N380" i="1"/>
  <c r="G380" i="1"/>
  <c r="A380" i="1"/>
  <c r="AO379" i="1"/>
  <c r="N379" i="1"/>
  <c r="G379" i="1"/>
  <c r="A379" i="1"/>
  <c r="AO378" i="1"/>
  <c r="N378" i="1"/>
  <c r="G378" i="1"/>
  <c r="A378" i="1"/>
  <c r="AO377" i="1"/>
  <c r="N377" i="1"/>
  <c r="G377" i="1"/>
  <c r="A377" i="1"/>
  <c r="AO376" i="1"/>
  <c r="N376" i="1"/>
  <c r="G376" i="1"/>
  <c r="A376" i="1"/>
  <c r="AO375" i="1"/>
  <c r="N375" i="1"/>
  <c r="G375" i="1"/>
  <c r="A375" i="1"/>
  <c r="AO374" i="1"/>
  <c r="N374" i="1"/>
  <c r="G374" i="1"/>
  <c r="A374" i="1"/>
  <c r="AO373" i="1"/>
  <c r="N373" i="1"/>
  <c r="G373" i="1"/>
  <c r="A373" i="1"/>
  <c r="AO372" i="1"/>
  <c r="N372" i="1"/>
  <c r="G372" i="1"/>
  <c r="A372" i="1"/>
  <c r="AO371" i="1"/>
  <c r="N371" i="1"/>
  <c r="G371" i="1"/>
  <c r="A371" i="1"/>
  <c r="AO370" i="1"/>
  <c r="N370" i="1"/>
  <c r="G370" i="1"/>
  <c r="A370" i="1"/>
  <c r="AO369" i="1"/>
  <c r="N369" i="1"/>
  <c r="G369" i="1"/>
  <c r="A369" i="1"/>
  <c r="AO368" i="1"/>
  <c r="N368" i="1"/>
  <c r="G368" i="1"/>
  <c r="A368" i="1"/>
  <c r="AO367" i="1"/>
  <c r="N367" i="1"/>
  <c r="G367" i="1"/>
  <c r="A367" i="1"/>
  <c r="AO366" i="1"/>
  <c r="N366" i="1"/>
  <c r="G366" i="1"/>
  <c r="A366" i="1"/>
  <c r="AO365" i="1"/>
  <c r="N365" i="1"/>
  <c r="G365" i="1"/>
  <c r="A365" i="1"/>
  <c r="AO364" i="1"/>
  <c r="N364" i="1"/>
  <c r="G364" i="1"/>
  <c r="A364" i="1"/>
  <c r="AO363" i="1"/>
  <c r="N363" i="1"/>
  <c r="G363" i="1"/>
  <c r="A363" i="1"/>
  <c r="AO362" i="1"/>
  <c r="N362" i="1"/>
  <c r="G362" i="1"/>
  <c r="A362" i="1"/>
  <c r="AO361" i="1"/>
  <c r="N361" i="1"/>
  <c r="G361" i="1"/>
  <c r="A361" i="1"/>
  <c r="AO360" i="1"/>
  <c r="N360" i="1"/>
  <c r="G360" i="1"/>
  <c r="A360" i="1"/>
  <c r="AO359" i="1"/>
  <c r="N359" i="1"/>
  <c r="G359" i="1"/>
  <c r="A359" i="1"/>
  <c r="AO358" i="1"/>
  <c r="N358" i="1"/>
  <c r="G358" i="1"/>
  <c r="A358" i="1"/>
  <c r="AO357" i="1"/>
  <c r="N357" i="1"/>
  <c r="G357" i="1"/>
  <c r="A357" i="1"/>
  <c r="AO356" i="1"/>
  <c r="N356" i="1"/>
  <c r="G356" i="1"/>
  <c r="A356" i="1"/>
  <c r="AO355" i="1"/>
  <c r="N355" i="1"/>
  <c r="G355" i="1"/>
  <c r="A355" i="1"/>
  <c r="AO354" i="1"/>
  <c r="N354" i="1"/>
  <c r="G354" i="1"/>
  <c r="A354" i="1"/>
  <c r="AO353" i="1"/>
  <c r="N353" i="1"/>
  <c r="G353" i="1"/>
  <c r="A353" i="1"/>
  <c r="AO352" i="1"/>
  <c r="N352" i="1"/>
  <c r="G352" i="1"/>
  <c r="A352" i="1"/>
  <c r="AO351" i="1"/>
  <c r="N351" i="1"/>
  <c r="G351" i="1"/>
  <c r="A351" i="1"/>
  <c r="AO350" i="1"/>
  <c r="N350" i="1"/>
  <c r="G350" i="1"/>
  <c r="A350" i="1"/>
  <c r="AO349" i="1"/>
  <c r="N349" i="1"/>
  <c r="G349" i="1"/>
  <c r="A349" i="1"/>
  <c r="AO348" i="1"/>
  <c r="N348" i="1"/>
  <c r="G348" i="1"/>
  <c r="A348" i="1"/>
  <c r="AO347" i="1"/>
  <c r="N347" i="1"/>
  <c r="G347" i="1"/>
  <c r="A347" i="1"/>
  <c r="AO346" i="1"/>
  <c r="N346" i="1"/>
  <c r="G346" i="1"/>
  <c r="A346" i="1"/>
  <c r="AO345" i="1"/>
  <c r="N345" i="1"/>
  <c r="G345" i="1"/>
  <c r="A345" i="1"/>
  <c r="AO344" i="1"/>
  <c r="N344" i="1"/>
  <c r="G344" i="1"/>
  <c r="A344" i="1"/>
  <c r="AO343" i="1"/>
  <c r="N343" i="1"/>
  <c r="G343" i="1"/>
  <c r="A343" i="1"/>
  <c r="AO342" i="1"/>
  <c r="N342" i="1"/>
  <c r="G342" i="1"/>
  <c r="A342" i="1"/>
  <c r="AO341" i="1"/>
  <c r="N341" i="1"/>
  <c r="G341" i="1"/>
  <c r="A341" i="1"/>
  <c r="AO340" i="1"/>
  <c r="N340" i="1"/>
  <c r="G340" i="1"/>
  <c r="A340" i="1"/>
  <c r="AO339" i="1"/>
  <c r="N339" i="1"/>
  <c r="G339" i="1"/>
  <c r="A339" i="1"/>
  <c r="AO338" i="1"/>
  <c r="N338" i="1"/>
  <c r="G338" i="1"/>
  <c r="A338" i="1"/>
  <c r="AO337" i="1"/>
  <c r="N337" i="1"/>
  <c r="G337" i="1"/>
  <c r="A337" i="1"/>
  <c r="AO336" i="1"/>
  <c r="N336" i="1"/>
  <c r="G336" i="1"/>
  <c r="A336" i="1"/>
  <c r="AO335" i="1"/>
  <c r="N335" i="1"/>
  <c r="G335" i="1"/>
  <c r="A335" i="1"/>
  <c r="AO334" i="1"/>
  <c r="N334" i="1"/>
  <c r="G334" i="1"/>
  <c r="A334" i="1"/>
  <c r="AO333" i="1"/>
  <c r="N333" i="1"/>
  <c r="G333" i="1"/>
  <c r="A333" i="1"/>
  <c r="AO332" i="1"/>
  <c r="N332" i="1"/>
  <c r="G332" i="1"/>
  <c r="A332" i="1"/>
  <c r="AO331" i="1"/>
  <c r="N331" i="1"/>
  <c r="G331" i="1"/>
  <c r="A331" i="1"/>
  <c r="AO330" i="1"/>
  <c r="N330" i="1"/>
  <c r="G330" i="1"/>
  <c r="A330" i="1"/>
  <c r="AO329" i="1"/>
  <c r="N329" i="1"/>
  <c r="G329" i="1"/>
  <c r="A329" i="1"/>
  <c r="AO328" i="1"/>
  <c r="N328" i="1"/>
  <c r="G328" i="1"/>
  <c r="A328" i="1"/>
  <c r="AO327" i="1"/>
  <c r="N327" i="1"/>
  <c r="G327" i="1"/>
  <c r="A327" i="1"/>
  <c r="AO326" i="1"/>
  <c r="N326" i="1"/>
  <c r="G326" i="1"/>
  <c r="A326" i="1"/>
  <c r="AO325" i="1"/>
  <c r="N325" i="1"/>
  <c r="G325" i="1"/>
  <c r="A325" i="1"/>
  <c r="AO324" i="1"/>
  <c r="N324" i="1"/>
  <c r="G324" i="1"/>
  <c r="A324" i="1"/>
  <c r="AO323" i="1"/>
  <c r="N323" i="1"/>
  <c r="G323" i="1"/>
  <c r="A323" i="1"/>
  <c r="AO322" i="1"/>
  <c r="N322" i="1"/>
  <c r="G322" i="1"/>
  <c r="A322" i="1"/>
  <c r="AO321" i="1"/>
  <c r="N321" i="1"/>
  <c r="G321" i="1"/>
  <c r="A321" i="1"/>
  <c r="AO320" i="1"/>
  <c r="N320" i="1"/>
  <c r="G320" i="1"/>
  <c r="A320" i="1"/>
  <c r="AO319" i="1"/>
  <c r="N319" i="1"/>
  <c r="G319" i="1"/>
  <c r="A319" i="1"/>
  <c r="AO318" i="1"/>
  <c r="N318" i="1"/>
  <c r="G318" i="1"/>
  <c r="A318" i="1"/>
  <c r="AO317" i="1"/>
  <c r="N317" i="1"/>
  <c r="G317" i="1"/>
  <c r="A317" i="1"/>
  <c r="AO316" i="1"/>
  <c r="N316" i="1"/>
  <c r="G316" i="1"/>
  <c r="A316" i="1"/>
  <c r="AO315" i="1"/>
  <c r="N315" i="1"/>
  <c r="G315" i="1"/>
  <c r="A315" i="1"/>
  <c r="AO314" i="1"/>
  <c r="N314" i="1"/>
  <c r="G314" i="1"/>
  <c r="A314" i="1"/>
  <c r="AO313" i="1"/>
  <c r="N313" i="1"/>
  <c r="G313" i="1"/>
  <c r="A313" i="1"/>
  <c r="AO312" i="1"/>
  <c r="N312" i="1"/>
  <c r="G312" i="1"/>
  <c r="A312" i="1"/>
  <c r="AO311" i="1"/>
  <c r="N311" i="1"/>
  <c r="G311" i="1"/>
  <c r="A311" i="1"/>
  <c r="AO310" i="1"/>
  <c r="N310" i="1"/>
  <c r="G310" i="1"/>
  <c r="A310" i="1"/>
  <c r="AO309" i="1"/>
  <c r="N309" i="1"/>
  <c r="G309" i="1"/>
  <c r="A309" i="1"/>
  <c r="AO308" i="1"/>
  <c r="N308" i="1"/>
  <c r="G308" i="1"/>
  <c r="A308" i="1"/>
  <c r="AO307" i="1"/>
  <c r="N307" i="1"/>
  <c r="G307" i="1"/>
  <c r="A307" i="1"/>
  <c r="AO306" i="1"/>
  <c r="N306" i="1"/>
  <c r="G306" i="1"/>
  <c r="A306" i="1"/>
  <c r="AO305" i="1"/>
  <c r="N305" i="1"/>
  <c r="G305" i="1"/>
  <c r="A305" i="1"/>
  <c r="AO304" i="1"/>
  <c r="N304" i="1"/>
  <c r="G304" i="1"/>
  <c r="A304" i="1"/>
  <c r="AO303" i="1"/>
  <c r="N303" i="1"/>
  <c r="G303" i="1"/>
  <c r="A303" i="1"/>
  <c r="AO302" i="1"/>
  <c r="N302" i="1"/>
  <c r="G302" i="1"/>
  <c r="A302" i="1"/>
  <c r="AO301" i="1"/>
  <c r="N301" i="1"/>
  <c r="G301" i="1"/>
  <c r="A301" i="1"/>
  <c r="AO300" i="1"/>
  <c r="N300" i="1"/>
  <c r="G300" i="1"/>
  <c r="A300" i="1"/>
  <c r="AO299" i="1"/>
  <c r="N299" i="1"/>
  <c r="G299" i="1"/>
  <c r="A299" i="1"/>
  <c r="AO298" i="1"/>
  <c r="N298" i="1"/>
  <c r="G298" i="1"/>
  <c r="A298" i="1"/>
  <c r="AO297" i="1"/>
  <c r="N297" i="1"/>
  <c r="G297" i="1"/>
  <c r="A297" i="1"/>
  <c r="AO296" i="1"/>
  <c r="N296" i="1"/>
  <c r="G296" i="1"/>
  <c r="A296" i="1"/>
  <c r="AO295" i="1"/>
  <c r="N295" i="1"/>
  <c r="G295" i="1"/>
  <c r="A295" i="1"/>
  <c r="AO294" i="1"/>
  <c r="N294" i="1"/>
  <c r="G294" i="1"/>
  <c r="A294" i="1"/>
  <c r="AO293" i="1"/>
  <c r="N293" i="1"/>
  <c r="G293" i="1"/>
  <c r="A293" i="1"/>
  <c r="AO292" i="1"/>
  <c r="N292" i="1"/>
  <c r="G292" i="1"/>
  <c r="A292" i="1"/>
  <c r="AO291" i="1"/>
  <c r="N291" i="1"/>
  <c r="G291" i="1"/>
  <c r="A291" i="1"/>
  <c r="AO290" i="1"/>
  <c r="N290" i="1"/>
  <c r="G290" i="1"/>
  <c r="A290" i="1"/>
  <c r="AO289" i="1"/>
  <c r="N289" i="1"/>
  <c r="G289" i="1"/>
  <c r="A289" i="1"/>
  <c r="AO288" i="1"/>
  <c r="N288" i="1"/>
  <c r="G288" i="1"/>
  <c r="A288" i="1"/>
  <c r="AO287" i="1"/>
  <c r="N287" i="1"/>
  <c r="G287" i="1"/>
  <c r="A287" i="1"/>
  <c r="AO286" i="1"/>
  <c r="N286" i="1"/>
  <c r="G286" i="1"/>
  <c r="A286" i="1"/>
  <c r="AO285" i="1"/>
  <c r="N285" i="1"/>
  <c r="G285" i="1"/>
  <c r="A285" i="1"/>
  <c r="AO284" i="1"/>
  <c r="N284" i="1"/>
  <c r="G284" i="1"/>
  <c r="A284" i="1"/>
  <c r="AO283" i="1"/>
  <c r="N283" i="1"/>
  <c r="G283" i="1"/>
  <c r="A283" i="1"/>
  <c r="AO282" i="1"/>
  <c r="N282" i="1"/>
  <c r="G282" i="1"/>
  <c r="A282" i="1"/>
  <c r="AO281" i="1"/>
  <c r="N281" i="1"/>
  <c r="G281" i="1"/>
  <c r="A281" i="1"/>
  <c r="AO280" i="1"/>
  <c r="N280" i="1"/>
  <c r="G280" i="1"/>
  <c r="A280" i="1"/>
  <c r="AO279" i="1"/>
  <c r="N279" i="1"/>
  <c r="G279" i="1"/>
  <c r="A279" i="1"/>
  <c r="AO278" i="1"/>
  <c r="N278" i="1"/>
  <c r="G278" i="1"/>
  <c r="A278" i="1"/>
  <c r="AO277" i="1"/>
  <c r="N277" i="1"/>
  <c r="G277" i="1"/>
  <c r="A277" i="1"/>
  <c r="AO276" i="1"/>
  <c r="N276" i="1"/>
  <c r="G276" i="1"/>
  <c r="A276" i="1"/>
  <c r="AO275" i="1"/>
  <c r="N275" i="1"/>
  <c r="G275" i="1"/>
  <c r="A275" i="1"/>
  <c r="AO274" i="1"/>
  <c r="N274" i="1"/>
  <c r="G274" i="1"/>
  <c r="A274" i="1"/>
  <c r="AO273" i="1"/>
  <c r="N273" i="1"/>
  <c r="G273" i="1"/>
  <c r="A273" i="1"/>
  <c r="AO272" i="1"/>
  <c r="N272" i="1"/>
  <c r="G272" i="1"/>
  <c r="A272" i="1"/>
  <c r="AO271" i="1"/>
  <c r="N271" i="1"/>
  <c r="G271" i="1"/>
  <c r="A271" i="1"/>
  <c r="AO270" i="1"/>
  <c r="N270" i="1"/>
  <c r="G270" i="1"/>
  <c r="A270" i="1"/>
  <c r="AO269" i="1"/>
  <c r="N269" i="1"/>
  <c r="G269" i="1"/>
  <c r="A269" i="1"/>
  <c r="AO268" i="1"/>
  <c r="N268" i="1"/>
  <c r="G268" i="1"/>
  <c r="A268" i="1"/>
  <c r="AO267" i="1"/>
  <c r="N267" i="1"/>
  <c r="G267" i="1"/>
  <c r="A267" i="1"/>
  <c r="AO266" i="1"/>
  <c r="N266" i="1"/>
  <c r="G266" i="1"/>
  <c r="A266" i="1"/>
  <c r="AO265" i="1"/>
  <c r="N265" i="1"/>
  <c r="G265" i="1"/>
  <c r="A265" i="1"/>
  <c r="AO264" i="1"/>
  <c r="N264" i="1"/>
  <c r="G264" i="1"/>
  <c r="A264" i="1"/>
  <c r="AO263" i="1"/>
  <c r="N263" i="1"/>
  <c r="G263" i="1"/>
  <c r="A263" i="1"/>
  <c r="AO262" i="1"/>
  <c r="N262" i="1"/>
  <c r="G262" i="1"/>
  <c r="A262" i="1"/>
  <c r="AO261" i="1"/>
  <c r="N261" i="1"/>
  <c r="G261" i="1"/>
  <c r="A261" i="1"/>
  <c r="AO260" i="1"/>
  <c r="N260" i="1"/>
  <c r="G260" i="1"/>
  <c r="A260" i="1"/>
  <c r="AO259" i="1"/>
  <c r="N259" i="1"/>
  <c r="G259" i="1"/>
  <c r="A259" i="1"/>
  <c r="AO258" i="1"/>
  <c r="N258" i="1"/>
  <c r="G258" i="1"/>
  <c r="A258" i="1"/>
  <c r="AO257" i="1"/>
  <c r="N257" i="1"/>
  <c r="G257" i="1"/>
  <c r="A257" i="1"/>
  <c r="AO256" i="1"/>
  <c r="N256" i="1"/>
  <c r="G256" i="1"/>
  <c r="A256" i="1"/>
  <c r="AO255" i="1"/>
  <c r="N255" i="1"/>
  <c r="G255" i="1"/>
  <c r="A255" i="1"/>
  <c r="AO254" i="1"/>
  <c r="N254" i="1"/>
  <c r="G254" i="1"/>
  <c r="A254" i="1"/>
  <c r="AO253" i="1"/>
  <c r="N253" i="1"/>
  <c r="G253" i="1"/>
  <c r="A253" i="1"/>
  <c r="AO252" i="1"/>
  <c r="N252" i="1"/>
  <c r="G252" i="1"/>
  <c r="A252" i="1"/>
  <c r="AO251" i="1"/>
  <c r="N251" i="1"/>
  <c r="G251" i="1"/>
  <c r="A251" i="1"/>
  <c r="AO250" i="1"/>
  <c r="N250" i="1"/>
  <c r="G250" i="1"/>
  <c r="A250" i="1"/>
  <c r="AO249" i="1"/>
  <c r="N249" i="1"/>
  <c r="G249" i="1"/>
  <c r="A249" i="1"/>
  <c r="AO248" i="1"/>
  <c r="N248" i="1"/>
  <c r="G248" i="1"/>
  <c r="A248" i="1"/>
  <c r="AO247" i="1"/>
  <c r="N247" i="1"/>
  <c r="G247" i="1"/>
  <c r="A247" i="1"/>
  <c r="AO246" i="1"/>
  <c r="N246" i="1"/>
  <c r="G246" i="1"/>
  <c r="A246" i="1"/>
  <c r="AO245" i="1"/>
  <c r="N245" i="1"/>
  <c r="G245" i="1"/>
  <c r="A245" i="1"/>
  <c r="AO244" i="1"/>
  <c r="N244" i="1"/>
  <c r="G244" i="1"/>
  <c r="A244" i="1"/>
  <c r="AO243" i="1"/>
  <c r="N243" i="1"/>
  <c r="G243" i="1"/>
  <c r="A243" i="1"/>
  <c r="AO242" i="1"/>
  <c r="N242" i="1"/>
  <c r="G242" i="1"/>
  <c r="A242" i="1"/>
  <c r="AO241" i="1"/>
  <c r="N241" i="1"/>
  <c r="G241" i="1"/>
  <c r="A241" i="1"/>
  <c r="AO240" i="1"/>
  <c r="N240" i="1"/>
  <c r="G240" i="1"/>
  <c r="A240" i="1"/>
  <c r="AO239" i="1"/>
  <c r="N239" i="1"/>
  <c r="G239" i="1"/>
  <c r="A239" i="1"/>
  <c r="AO238" i="1"/>
  <c r="N238" i="1"/>
  <c r="G238" i="1"/>
  <c r="A238" i="1"/>
  <c r="AO237" i="1"/>
  <c r="N237" i="1"/>
  <c r="G237" i="1"/>
  <c r="A237" i="1"/>
  <c r="AO236" i="1"/>
  <c r="N236" i="1"/>
  <c r="G236" i="1"/>
  <c r="A236" i="1"/>
  <c r="AO235" i="1"/>
  <c r="N235" i="1"/>
  <c r="G235" i="1"/>
  <c r="A235" i="1"/>
  <c r="AO234" i="1"/>
  <c r="N234" i="1"/>
  <c r="G234" i="1"/>
  <c r="A234" i="1"/>
  <c r="AO233" i="1"/>
  <c r="N233" i="1"/>
  <c r="G233" i="1"/>
  <c r="A233" i="1"/>
  <c r="AO232" i="1"/>
  <c r="N232" i="1"/>
  <c r="G232" i="1"/>
  <c r="A232" i="1"/>
  <c r="AO231" i="1"/>
  <c r="N231" i="1"/>
  <c r="G231" i="1"/>
  <c r="A231" i="1"/>
  <c r="AO230" i="1"/>
  <c r="N230" i="1"/>
  <c r="G230" i="1"/>
  <c r="A230" i="1"/>
  <c r="AO229" i="1"/>
  <c r="N229" i="1"/>
  <c r="G229" i="1"/>
  <c r="A229" i="1"/>
  <c r="AO228" i="1"/>
  <c r="N228" i="1"/>
  <c r="G228" i="1"/>
  <c r="A228" i="1"/>
  <c r="AO227" i="1"/>
  <c r="N227" i="1"/>
  <c r="G227" i="1"/>
  <c r="A227" i="1"/>
  <c r="AO226" i="1"/>
  <c r="N226" i="1"/>
  <c r="G226" i="1"/>
  <c r="A226" i="1"/>
  <c r="AO225" i="1"/>
  <c r="N225" i="1"/>
  <c r="G225" i="1"/>
  <c r="A225" i="1"/>
  <c r="AO224" i="1"/>
  <c r="N224" i="1"/>
  <c r="G224" i="1"/>
  <c r="A224" i="1"/>
  <c r="AO223" i="1"/>
  <c r="N223" i="1"/>
  <c r="G223" i="1"/>
  <c r="A223" i="1"/>
  <c r="AO222" i="1"/>
  <c r="N222" i="1"/>
  <c r="G222" i="1"/>
  <c r="A222" i="1"/>
  <c r="AO221" i="1"/>
  <c r="N221" i="1"/>
  <c r="G221" i="1"/>
  <c r="A221" i="1"/>
  <c r="AO220" i="1"/>
  <c r="N220" i="1"/>
  <c r="G220" i="1"/>
  <c r="A220" i="1"/>
  <c r="AO219" i="1"/>
  <c r="N219" i="1"/>
  <c r="G219" i="1"/>
  <c r="A219" i="1"/>
  <c r="AO218" i="1"/>
  <c r="N218" i="1"/>
  <c r="G218" i="1"/>
  <c r="A218" i="1"/>
  <c r="AO217" i="1"/>
  <c r="N217" i="1"/>
  <c r="G217" i="1"/>
  <c r="A217" i="1"/>
  <c r="AO216" i="1"/>
  <c r="N216" i="1"/>
  <c r="G216" i="1"/>
  <c r="A216" i="1"/>
  <c r="AO215" i="1"/>
  <c r="N215" i="1"/>
  <c r="G215" i="1"/>
  <c r="A215" i="1"/>
  <c r="AO214" i="1"/>
  <c r="N214" i="1"/>
  <c r="G214" i="1"/>
  <c r="A214" i="1"/>
  <c r="AO213" i="1"/>
  <c r="N213" i="1"/>
  <c r="G213" i="1"/>
  <c r="A213" i="1"/>
  <c r="AO212" i="1"/>
  <c r="N212" i="1"/>
  <c r="G212" i="1"/>
  <c r="A212" i="1"/>
  <c r="AO211" i="1"/>
  <c r="N211" i="1"/>
  <c r="G211" i="1"/>
  <c r="A211" i="1"/>
  <c r="AO210" i="1"/>
  <c r="N210" i="1"/>
  <c r="G210" i="1"/>
  <c r="A210" i="1"/>
  <c r="AO209" i="1"/>
  <c r="N209" i="1"/>
  <c r="G209" i="1"/>
  <c r="A209" i="1"/>
  <c r="AO208" i="1"/>
  <c r="N208" i="1"/>
  <c r="G208" i="1"/>
  <c r="A208" i="1"/>
  <c r="AO207" i="1"/>
  <c r="N207" i="1"/>
  <c r="G207" i="1"/>
  <c r="A207" i="1"/>
  <c r="AO206" i="1"/>
  <c r="N206" i="1"/>
  <c r="G206" i="1"/>
  <c r="A206" i="1"/>
  <c r="AO205" i="1"/>
  <c r="N205" i="1"/>
  <c r="G205" i="1"/>
  <c r="A205" i="1"/>
  <c r="AO204" i="1"/>
  <c r="N204" i="1"/>
  <c r="G204" i="1"/>
  <c r="A204" i="1"/>
  <c r="AO203" i="1"/>
  <c r="N203" i="1"/>
  <c r="G203" i="1"/>
  <c r="A203" i="1"/>
  <c r="AO202" i="1"/>
  <c r="N202" i="1"/>
  <c r="G202" i="1"/>
  <c r="A202" i="1"/>
  <c r="AO201" i="1"/>
  <c r="N201" i="1"/>
  <c r="G201" i="1"/>
  <c r="A201" i="1"/>
  <c r="AO200" i="1"/>
  <c r="N200" i="1"/>
  <c r="G200" i="1"/>
  <c r="A200" i="1"/>
  <c r="AO199" i="1"/>
  <c r="N199" i="1"/>
  <c r="G199" i="1"/>
  <c r="A199" i="1"/>
  <c r="AO198" i="1"/>
  <c r="N198" i="1"/>
  <c r="G198" i="1"/>
  <c r="A198" i="1"/>
  <c r="AO197" i="1"/>
  <c r="N197" i="1"/>
  <c r="G197" i="1"/>
  <c r="A197" i="1"/>
  <c r="AO196" i="1"/>
  <c r="N196" i="1"/>
  <c r="G196" i="1"/>
  <c r="A196" i="1"/>
  <c r="AO195" i="1"/>
  <c r="N195" i="1"/>
  <c r="G195" i="1"/>
  <c r="A195" i="1"/>
  <c r="AO194" i="1"/>
  <c r="N194" i="1"/>
  <c r="G194" i="1"/>
  <c r="A194" i="1"/>
  <c r="AO193" i="1"/>
  <c r="N193" i="1"/>
  <c r="G193" i="1"/>
  <c r="A193" i="1"/>
  <c r="AO192" i="1"/>
  <c r="N192" i="1"/>
  <c r="G192" i="1"/>
  <c r="A192" i="1"/>
  <c r="AO191" i="1"/>
  <c r="N191" i="1"/>
  <c r="G191" i="1"/>
  <c r="A191" i="1"/>
  <c r="AO190" i="1"/>
  <c r="N190" i="1"/>
  <c r="G190" i="1"/>
  <c r="A190" i="1"/>
  <c r="AO189" i="1"/>
  <c r="N189" i="1"/>
  <c r="G189" i="1"/>
  <c r="A189" i="1"/>
  <c r="AO188" i="1"/>
  <c r="N188" i="1"/>
  <c r="G188" i="1"/>
  <c r="A188" i="1"/>
  <c r="AO187" i="1"/>
  <c r="N187" i="1"/>
  <c r="G187" i="1"/>
  <c r="A187" i="1"/>
  <c r="AO186" i="1"/>
  <c r="N186" i="1"/>
  <c r="G186" i="1"/>
  <c r="A186" i="1"/>
  <c r="AO185" i="1"/>
  <c r="N185" i="1"/>
  <c r="G185" i="1"/>
  <c r="A185" i="1"/>
  <c r="AO184" i="1"/>
  <c r="N184" i="1"/>
  <c r="G184" i="1"/>
  <c r="A184" i="1"/>
  <c r="AO183" i="1"/>
  <c r="N183" i="1"/>
  <c r="G183" i="1"/>
  <c r="A183" i="1"/>
  <c r="AO182" i="1"/>
  <c r="N182" i="1"/>
  <c r="G182" i="1"/>
  <c r="A182" i="1"/>
  <c r="AO181" i="1"/>
  <c r="N181" i="1"/>
  <c r="G181" i="1"/>
  <c r="A181" i="1"/>
  <c r="AO180" i="1"/>
  <c r="N180" i="1"/>
  <c r="G180" i="1"/>
  <c r="A180" i="1"/>
  <c r="AO179" i="1"/>
  <c r="N179" i="1"/>
  <c r="G179" i="1"/>
  <c r="A179" i="1"/>
  <c r="AO178" i="1"/>
  <c r="N178" i="1"/>
  <c r="G178" i="1"/>
  <c r="A178" i="1"/>
  <c r="AO177" i="1"/>
  <c r="N177" i="1"/>
  <c r="G177" i="1"/>
  <c r="A177" i="1"/>
  <c r="AO176" i="1"/>
  <c r="N176" i="1"/>
  <c r="G176" i="1"/>
  <c r="A176" i="1"/>
  <c r="AO175" i="1"/>
  <c r="N175" i="1"/>
  <c r="G175" i="1"/>
  <c r="A175" i="1"/>
  <c r="AO174" i="1"/>
  <c r="N174" i="1"/>
  <c r="G174" i="1"/>
  <c r="A174" i="1"/>
  <c r="AO173" i="1"/>
  <c r="N173" i="1"/>
  <c r="G173" i="1"/>
  <c r="A173" i="1"/>
  <c r="AO172" i="1"/>
  <c r="N172" i="1"/>
  <c r="G172" i="1"/>
  <c r="A172" i="1"/>
  <c r="AO171" i="1"/>
  <c r="N171" i="1"/>
  <c r="G171" i="1"/>
  <c r="A171" i="1"/>
  <c r="AO170" i="1"/>
  <c r="N170" i="1"/>
  <c r="G170" i="1"/>
  <c r="A170" i="1"/>
  <c r="AO169" i="1"/>
  <c r="N169" i="1"/>
  <c r="G169" i="1"/>
  <c r="A169" i="1"/>
  <c r="AO168" i="1"/>
  <c r="N168" i="1"/>
  <c r="G168" i="1"/>
  <c r="A168" i="1"/>
  <c r="AO167" i="1"/>
  <c r="N167" i="1"/>
  <c r="G167" i="1"/>
  <c r="A167" i="1"/>
  <c r="AO166" i="1"/>
  <c r="N166" i="1"/>
  <c r="G166" i="1"/>
  <c r="A166" i="1"/>
  <c r="AO165" i="1"/>
  <c r="N165" i="1"/>
  <c r="G165" i="1"/>
  <c r="A165" i="1"/>
  <c r="AO164" i="1"/>
  <c r="N164" i="1"/>
  <c r="G164" i="1"/>
  <c r="A164" i="1"/>
  <c r="AO163" i="1"/>
  <c r="N163" i="1"/>
  <c r="G163" i="1"/>
  <c r="A163" i="1"/>
  <c r="AO162" i="1"/>
  <c r="N162" i="1"/>
  <c r="G162" i="1"/>
  <c r="A162" i="1"/>
  <c r="AO161" i="1"/>
  <c r="N161" i="1"/>
  <c r="G161" i="1"/>
  <c r="A161" i="1"/>
  <c r="AO160" i="1"/>
  <c r="N160" i="1"/>
  <c r="G160" i="1"/>
  <c r="A160" i="1"/>
  <c r="AO159" i="1"/>
  <c r="N159" i="1"/>
  <c r="G159" i="1"/>
  <c r="A159" i="1"/>
  <c r="AO158" i="1"/>
  <c r="N158" i="1"/>
  <c r="G158" i="1"/>
  <c r="A158" i="1"/>
  <c r="AO157" i="1"/>
  <c r="N157" i="1"/>
  <c r="G157" i="1"/>
  <c r="A157" i="1"/>
  <c r="AO156" i="1"/>
  <c r="N156" i="1"/>
  <c r="G156" i="1"/>
  <c r="A156" i="1"/>
  <c r="AO155" i="1"/>
  <c r="N155" i="1"/>
  <c r="G155" i="1"/>
  <c r="A155" i="1"/>
  <c r="AO154" i="1"/>
  <c r="N154" i="1"/>
  <c r="G154" i="1"/>
  <c r="A154" i="1"/>
  <c r="AO153" i="1"/>
  <c r="N153" i="1"/>
  <c r="G153" i="1"/>
  <c r="A153" i="1"/>
  <c r="AO152" i="1"/>
  <c r="N152" i="1"/>
  <c r="G152" i="1"/>
  <c r="A152" i="1"/>
  <c r="AO151" i="1"/>
  <c r="N151" i="1"/>
  <c r="G151" i="1"/>
  <c r="A151" i="1"/>
  <c r="AO150" i="1"/>
  <c r="N150" i="1"/>
  <c r="G150" i="1"/>
  <c r="A150" i="1"/>
  <c r="AO149" i="1"/>
  <c r="N149" i="1"/>
  <c r="G149" i="1"/>
  <c r="A149" i="1"/>
  <c r="AO148" i="1"/>
  <c r="N148" i="1"/>
  <c r="G148" i="1"/>
  <c r="A148" i="1"/>
  <c r="AO147" i="1"/>
  <c r="N147" i="1"/>
  <c r="G147" i="1"/>
  <c r="A147" i="1"/>
  <c r="AO146" i="1"/>
  <c r="N146" i="1"/>
  <c r="G146" i="1"/>
  <c r="A146" i="1"/>
  <c r="AO145" i="1"/>
  <c r="N145" i="1"/>
  <c r="G145" i="1"/>
  <c r="A145" i="1"/>
  <c r="AO144" i="1"/>
  <c r="N144" i="1"/>
  <c r="G144" i="1"/>
  <c r="A144" i="1"/>
  <c r="AO143" i="1"/>
  <c r="N143" i="1"/>
  <c r="G143" i="1"/>
  <c r="A143" i="1"/>
  <c r="AO142" i="1"/>
  <c r="N142" i="1"/>
  <c r="G142" i="1"/>
  <c r="A142" i="1"/>
  <c r="AO141" i="1"/>
  <c r="N141" i="1"/>
  <c r="G141" i="1"/>
  <c r="A141" i="1"/>
  <c r="AO140" i="1"/>
  <c r="N140" i="1"/>
  <c r="G140" i="1"/>
  <c r="A140" i="1"/>
  <c r="AO139" i="1"/>
  <c r="N139" i="1"/>
  <c r="G139" i="1"/>
  <c r="A139" i="1"/>
  <c r="AO138" i="1"/>
  <c r="N138" i="1"/>
  <c r="G138" i="1"/>
  <c r="A138" i="1"/>
  <c r="AO137" i="1"/>
  <c r="N137" i="1"/>
  <c r="G137" i="1"/>
  <c r="A137" i="1"/>
  <c r="AO136" i="1"/>
  <c r="N136" i="1"/>
  <c r="G136" i="1"/>
  <c r="A136" i="1"/>
  <c r="AO135" i="1"/>
  <c r="N135" i="1"/>
  <c r="G135" i="1"/>
  <c r="A135" i="1"/>
  <c r="AO134" i="1"/>
  <c r="N134" i="1"/>
  <c r="G134" i="1"/>
  <c r="A134" i="1"/>
  <c r="AO133" i="1"/>
  <c r="N133" i="1"/>
  <c r="G133" i="1"/>
  <c r="A133" i="1"/>
  <c r="AO132" i="1"/>
  <c r="N132" i="1"/>
  <c r="G132" i="1"/>
  <c r="A132" i="1"/>
  <c r="AO131" i="1"/>
  <c r="N131" i="1"/>
  <c r="G131" i="1"/>
  <c r="A131" i="1"/>
  <c r="AO130" i="1"/>
  <c r="N130" i="1"/>
  <c r="G130" i="1"/>
  <c r="A130" i="1"/>
  <c r="AO129" i="1"/>
  <c r="N129" i="1"/>
  <c r="G129" i="1"/>
  <c r="A129" i="1"/>
  <c r="AO128" i="1"/>
  <c r="N128" i="1"/>
  <c r="G128" i="1"/>
  <c r="A128" i="1"/>
  <c r="AO127" i="1"/>
  <c r="N127" i="1"/>
  <c r="G127" i="1"/>
  <c r="A127" i="1"/>
  <c r="AO126" i="1"/>
  <c r="N126" i="1"/>
  <c r="G126" i="1"/>
  <c r="A126" i="1"/>
  <c r="AO125" i="1"/>
  <c r="N125" i="1"/>
  <c r="G125" i="1"/>
  <c r="A125" i="1"/>
  <c r="AO124" i="1"/>
  <c r="N124" i="1"/>
  <c r="G124" i="1"/>
  <c r="A124" i="1"/>
  <c r="AO123" i="1"/>
  <c r="N123" i="1"/>
  <c r="G123" i="1"/>
  <c r="A123" i="1"/>
  <c r="AO122" i="1"/>
  <c r="N122" i="1"/>
  <c r="G122" i="1"/>
  <c r="A122" i="1"/>
  <c r="AO121" i="1"/>
  <c r="N121" i="1"/>
  <c r="G121" i="1"/>
  <c r="A121" i="1"/>
  <c r="AO120" i="1"/>
  <c r="N120" i="1"/>
  <c r="G120" i="1"/>
  <c r="A120" i="1"/>
  <c r="AO119" i="1"/>
  <c r="N119" i="1"/>
  <c r="G119" i="1"/>
  <c r="A119" i="1"/>
  <c r="AO118" i="1"/>
  <c r="N118" i="1"/>
  <c r="G118" i="1"/>
  <c r="A118" i="1"/>
  <c r="AO117" i="1"/>
  <c r="N117" i="1"/>
  <c r="G117" i="1"/>
  <c r="A117" i="1"/>
  <c r="AO116" i="1"/>
  <c r="N116" i="1"/>
  <c r="G116" i="1"/>
  <c r="A116" i="1"/>
  <c r="AO115" i="1"/>
  <c r="N115" i="1"/>
  <c r="G115" i="1"/>
  <c r="A115" i="1"/>
  <c r="AO114" i="1"/>
  <c r="N114" i="1"/>
  <c r="G114" i="1"/>
  <c r="A114" i="1"/>
  <c r="AO113" i="1"/>
  <c r="N113" i="1"/>
  <c r="G113" i="1"/>
  <c r="A113" i="1"/>
  <c r="AO112" i="1"/>
  <c r="N112" i="1"/>
  <c r="G112" i="1"/>
  <c r="A112" i="1"/>
  <c r="AO111" i="1"/>
  <c r="N111" i="1"/>
  <c r="G111" i="1"/>
  <c r="A111" i="1"/>
  <c r="AO110" i="1"/>
  <c r="N110" i="1"/>
  <c r="G110" i="1"/>
  <c r="A110" i="1"/>
  <c r="AO109" i="1"/>
  <c r="N109" i="1"/>
  <c r="G109" i="1"/>
  <c r="A109" i="1"/>
  <c r="AO108" i="1"/>
  <c r="N108" i="1"/>
  <c r="G108" i="1"/>
  <c r="A108" i="1"/>
  <c r="AO107" i="1"/>
  <c r="N107" i="1"/>
  <c r="G107" i="1"/>
  <c r="A107" i="1"/>
  <c r="AO106" i="1"/>
  <c r="N106" i="1"/>
  <c r="G106" i="1"/>
  <c r="A106" i="1"/>
  <c r="AO105" i="1"/>
  <c r="N105" i="1"/>
  <c r="G105" i="1"/>
  <c r="A105" i="1"/>
  <c r="AO104" i="1"/>
  <c r="N104" i="1"/>
  <c r="G104" i="1"/>
  <c r="A104" i="1"/>
  <c r="AO103" i="1"/>
  <c r="N103" i="1"/>
  <c r="G103" i="1"/>
  <c r="A103" i="1"/>
  <c r="AO102" i="1"/>
  <c r="N102" i="1"/>
  <c r="G102" i="1"/>
  <c r="A102" i="1"/>
  <c r="AO101" i="1"/>
  <c r="N101" i="1"/>
  <c r="G101" i="1"/>
  <c r="A101" i="1"/>
  <c r="AO100" i="1"/>
  <c r="N100" i="1"/>
  <c r="G100" i="1"/>
  <c r="A100" i="1"/>
  <c r="AO99" i="1"/>
  <c r="N99" i="1"/>
  <c r="G99" i="1"/>
  <c r="A99" i="1"/>
  <c r="AO98" i="1"/>
  <c r="N98" i="1"/>
  <c r="G98" i="1"/>
  <c r="A98" i="1"/>
  <c r="AO97" i="1"/>
  <c r="N97" i="1"/>
  <c r="G97" i="1"/>
  <c r="A97" i="1"/>
  <c r="AO96" i="1"/>
  <c r="N96" i="1"/>
  <c r="G96" i="1"/>
  <c r="A96" i="1"/>
  <c r="AO95" i="1"/>
  <c r="N95" i="1"/>
  <c r="G95" i="1"/>
  <c r="A95" i="1"/>
  <c r="AO94" i="1"/>
  <c r="N94" i="1"/>
  <c r="G94" i="1"/>
  <c r="A94" i="1"/>
  <c r="AO93" i="1"/>
  <c r="N93" i="1"/>
  <c r="G93" i="1"/>
  <c r="A93" i="1"/>
  <c r="AO92" i="1"/>
  <c r="N92" i="1"/>
  <c r="G92" i="1"/>
  <c r="A92" i="1"/>
  <c r="AO91" i="1"/>
  <c r="N91" i="1"/>
  <c r="G91" i="1"/>
  <c r="A91" i="1"/>
  <c r="AO90" i="1"/>
  <c r="N90" i="1"/>
  <c r="G90" i="1"/>
  <c r="A90" i="1"/>
  <c r="AO89" i="1"/>
  <c r="N89" i="1"/>
  <c r="G89" i="1"/>
  <c r="A89" i="1"/>
  <c r="AO88" i="1"/>
  <c r="N88" i="1"/>
  <c r="G88" i="1"/>
  <c r="A88" i="1"/>
  <c r="AO87" i="1"/>
  <c r="N87" i="1"/>
  <c r="G87" i="1"/>
  <c r="A87" i="1"/>
  <c r="AO86" i="1"/>
  <c r="N86" i="1"/>
  <c r="G86" i="1"/>
  <c r="A86" i="1"/>
  <c r="AO85" i="1"/>
  <c r="N85" i="1"/>
  <c r="G85" i="1"/>
  <c r="A85" i="1"/>
  <c r="AO84" i="1"/>
  <c r="N84" i="1"/>
  <c r="G84" i="1"/>
  <c r="A84" i="1"/>
  <c r="AO83" i="1"/>
  <c r="N83" i="1"/>
  <c r="G83" i="1"/>
  <c r="A83" i="1"/>
  <c r="AO82" i="1"/>
  <c r="N82" i="1"/>
  <c r="G82" i="1"/>
  <c r="A82" i="1"/>
  <c r="AO81" i="1"/>
  <c r="N81" i="1"/>
  <c r="G81" i="1"/>
  <c r="A81" i="1"/>
  <c r="AO80" i="1"/>
  <c r="N80" i="1"/>
  <c r="G80" i="1"/>
  <c r="A80" i="1"/>
  <c r="AO79" i="1"/>
  <c r="N79" i="1"/>
  <c r="G79" i="1"/>
  <c r="A79" i="1"/>
  <c r="AO78" i="1"/>
  <c r="N78" i="1"/>
  <c r="G78" i="1"/>
  <c r="A78" i="1"/>
  <c r="AO77" i="1"/>
  <c r="N77" i="1"/>
  <c r="G77" i="1"/>
  <c r="A77" i="1"/>
  <c r="AO76" i="1"/>
  <c r="N76" i="1"/>
  <c r="G76" i="1"/>
  <c r="A76" i="1"/>
  <c r="AO75" i="1"/>
  <c r="N75" i="1"/>
  <c r="G75" i="1"/>
  <c r="A75" i="1"/>
  <c r="AO74" i="1"/>
  <c r="N74" i="1"/>
  <c r="G74" i="1"/>
  <c r="A74" i="1"/>
  <c r="AO73" i="1"/>
  <c r="N73" i="1"/>
  <c r="G73" i="1"/>
  <c r="A73" i="1"/>
  <c r="AO72" i="1"/>
  <c r="N72" i="1"/>
  <c r="G72" i="1"/>
  <c r="A72" i="1"/>
  <c r="AO71" i="1"/>
  <c r="N71" i="1"/>
  <c r="G71" i="1"/>
  <c r="A71" i="1"/>
  <c r="AO70" i="1"/>
  <c r="N70" i="1"/>
  <c r="G70" i="1"/>
  <c r="A70" i="1"/>
  <c r="AO69" i="1"/>
  <c r="N69" i="1"/>
  <c r="G69" i="1"/>
  <c r="A69" i="1"/>
  <c r="AO68" i="1"/>
  <c r="N68" i="1"/>
  <c r="G68" i="1"/>
  <c r="A68" i="1"/>
  <c r="AO67" i="1"/>
  <c r="N67" i="1"/>
  <c r="G67" i="1"/>
  <c r="A67" i="1"/>
  <c r="AO66" i="1"/>
  <c r="N66" i="1"/>
  <c r="G66" i="1"/>
  <c r="A66" i="1"/>
  <c r="AO65" i="1"/>
  <c r="N65" i="1"/>
  <c r="G65" i="1"/>
  <c r="A65" i="1"/>
  <c r="AO64" i="1"/>
  <c r="N64" i="1"/>
  <c r="G64" i="1"/>
  <c r="A64" i="1"/>
  <c r="AO63" i="1"/>
  <c r="N63" i="1"/>
  <c r="G63" i="1"/>
  <c r="A63" i="1"/>
  <c r="AO62" i="1"/>
  <c r="N62" i="1"/>
  <c r="G62" i="1"/>
  <c r="A62" i="1"/>
  <c r="AO61" i="1"/>
  <c r="N61" i="1"/>
  <c r="G61" i="1"/>
  <c r="A61" i="1"/>
  <c r="AO60" i="1"/>
  <c r="N60" i="1"/>
  <c r="G60" i="1"/>
  <c r="A60" i="1"/>
  <c r="AO59" i="1"/>
  <c r="N59" i="1"/>
  <c r="G59" i="1"/>
  <c r="A59" i="1"/>
  <c r="AO58" i="1"/>
  <c r="N58" i="1"/>
  <c r="G58" i="1"/>
  <c r="A58" i="1"/>
  <c r="AO57" i="1"/>
  <c r="N57" i="1"/>
  <c r="G57" i="1"/>
  <c r="A57" i="1"/>
  <c r="AO56" i="1"/>
  <c r="N56" i="1"/>
  <c r="G56" i="1"/>
  <c r="A56" i="1"/>
  <c r="AO55" i="1"/>
  <c r="N55" i="1"/>
  <c r="G55" i="1"/>
  <c r="A55" i="1"/>
  <c r="AO54" i="1"/>
  <c r="N54" i="1"/>
  <c r="G54" i="1"/>
  <c r="A54" i="1"/>
  <c r="AO53" i="1"/>
  <c r="N53" i="1"/>
  <c r="G53" i="1"/>
  <c r="A53" i="1"/>
  <c r="AO52" i="1"/>
  <c r="N52" i="1"/>
  <c r="G52" i="1"/>
  <c r="A52" i="1"/>
  <c r="AO51" i="1"/>
  <c r="N51" i="1"/>
  <c r="G51" i="1"/>
  <c r="A51" i="1"/>
  <c r="AO50" i="1"/>
  <c r="N50" i="1"/>
  <c r="G50" i="1"/>
  <c r="A50" i="1"/>
  <c r="AO49" i="1"/>
  <c r="N49" i="1"/>
  <c r="G49" i="1"/>
  <c r="A49" i="1"/>
  <c r="AO48" i="1"/>
  <c r="N48" i="1"/>
  <c r="G48" i="1"/>
  <c r="A48" i="1"/>
  <c r="AO47" i="1"/>
  <c r="N47" i="1"/>
  <c r="G47" i="1"/>
  <c r="A47" i="1"/>
  <c r="AO46" i="1"/>
  <c r="N46" i="1"/>
  <c r="G46" i="1"/>
  <c r="A46" i="1"/>
  <c r="AO45" i="1"/>
  <c r="N45" i="1"/>
  <c r="G45" i="1"/>
  <c r="A45" i="1"/>
  <c r="AO44" i="1"/>
  <c r="N44" i="1"/>
  <c r="G44" i="1"/>
  <c r="A44" i="1"/>
  <c r="AO43" i="1"/>
  <c r="N43" i="1"/>
  <c r="G43" i="1"/>
  <c r="A43" i="1"/>
  <c r="AO42" i="1"/>
  <c r="N42" i="1"/>
  <c r="G42" i="1"/>
  <c r="A42" i="1"/>
  <c r="AO41" i="1"/>
  <c r="N41" i="1"/>
  <c r="G41" i="1"/>
  <c r="A41" i="1"/>
  <c r="AO40" i="1"/>
  <c r="N40" i="1"/>
  <c r="G40" i="1"/>
  <c r="A40" i="1"/>
  <c r="AO39" i="1"/>
  <c r="N39" i="1"/>
  <c r="G39" i="1"/>
  <c r="A39" i="1"/>
  <c r="AO38" i="1"/>
  <c r="N38" i="1"/>
  <c r="G38" i="1"/>
  <c r="A38" i="1"/>
  <c r="AO37" i="1"/>
  <c r="N37" i="1"/>
  <c r="G37" i="1"/>
  <c r="A37" i="1"/>
  <c r="AO36" i="1"/>
  <c r="N36" i="1"/>
  <c r="G36" i="1"/>
  <c r="A36" i="1"/>
  <c r="AO35" i="1"/>
  <c r="N35" i="1"/>
  <c r="G35" i="1"/>
  <c r="A35" i="1"/>
  <c r="AO34" i="1"/>
  <c r="N34" i="1"/>
  <c r="G34" i="1"/>
  <c r="A34" i="1"/>
  <c r="AO33" i="1"/>
  <c r="N33" i="1"/>
  <c r="G33" i="1"/>
  <c r="A33" i="1"/>
  <c r="AO32" i="1"/>
  <c r="N32" i="1"/>
  <c r="G32" i="1"/>
  <c r="A32" i="1"/>
  <c r="AO31" i="1"/>
  <c r="N31" i="1"/>
  <c r="G31" i="1"/>
  <c r="A31" i="1"/>
  <c r="AO30" i="1"/>
  <c r="N30" i="1"/>
  <c r="G30" i="1"/>
  <c r="A30" i="1"/>
  <c r="AO29" i="1"/>
  <c r="N29" i="1"/>
  <c r="G29" i="1"/>
  <c r="A29" i="1"/>
  <c r="AO28" i="1"/>
  <c r="N28" i="1"/>
  <c r="G28" i="1"/>
  <c r="A28" i="1"/>
  <c r="AO27" i="1"/>
  <c r="N27" i="1"/>
  <c r="G27" i="1"/>
  <c r="A27" i="1"/>
  <c r="AO26" i="1"/>
  <c r="N26" i="1"/>
  <c r="G26" i="1"/>
  <c r="A26" i="1"/>
  <c r="AO25" i="1"/>
  <c r="N25" i="1"/>
  <c r="G25" i="1"/>
  <c r="A25" i="1"/>
  <c r="AO24" i="1"/>
  <c r="N24" i="1"/>
  <c r="G24" i="1"/>
  <c r="A24" i="1"/>
  <c r="AO23" i="1"/>
  <c r="N23" i="1"/>
  <c r="G23" i="1"/>
  <c r="A23" i="1"/>
  <c r="AO22" i="1"/>
  <c r="N22" i="1"/>
  <c r="G22" i="1"/>
  <c r="A22" i="1"/>
  <c r="AO21" i="1"/>
  <c r="N21" i="1"/>
  <c r="G21" i="1"/>
  <c r="A21" i="1"/>
  <c r="AO20" i="1"/>
  <c r="N20" i="1"/>
  <c r="G20" i="1"/>
  <c r="A20" i="1"/>
  <c r="AO19" i="1"/>
  <c r="N19" i="1"/>
  <c r="G19" i="1"/>
  <c r="A19" i="1"/>
  <c r="AO18" i="1"/>
  <c r="N18" i="1"/>
  <c r="G18" i="1"/>
  <c r="A18" i="1"/>
  <c r="AO17" i="1"/>
  <c r="N17" i="1"/>
  <c r="G17" i="1"/>
  <c r="A17" i="1"/>
  <c r="AO16" i="1"/>
  <c r="N16" i="1"/>
  <c r="G16" i="1"/>
  <c r="A16" i="1"/>
  <c r="AO15" i="1"/>
  <c r="N15" i="1"/>
  <c r="G15" i="1"/>
  <c r="A15" i="1"/>
  <c r="AO14" i="1"/>
  <c r="N14" i="1"/>
  <c r="G14" i="1"/>
  <c r="A14" i="1"/>
  <c r="AO13" i="1"/>
  <c r="N13" i="1"/>
  <c r="G13" i="1"/>
  <c r="A13" i="1"/>
  <c r="AO12" i="1"/>
  <c r="N12" i="1"/>
  <c r="G12" i="1"/>
  <c r="A12" i="1"/>
  <c r="AO11" i="1"/>
  <c r="N11" i="1"/>
  <c r="G11" i="1"/>
  <c r="A11" i="1"/>
  <c r="AO10" i="1"/>
  <c r="N10" i="1"/>
  <c r="G10" i="1"/>
  <c r="A10" i="1"/>
  <c r="AO9" i="1"/>
  <c r="N9" i="1"/>
  <c r="G9" i="1"/>
  <c r="A9" i="1"/>
</calcChain>
</file>

<file path=xl/comments1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family val="2"/>
          </rPr>
          <t xml:space="preserve">Nhập họ và tên thí sinh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Thông tin năm sinh của người đăng ký bắt buộc phải nhập.</t>
        </r>
      </text>
    </comment>
    <comment ref="J8" authorId="0" shapeId="0">
      <text>
        <r>
          <rPr>
            <sz val="9"/>
            <color indexed="81"/>
            <rFont val="Tahoma"/>
            <family val="2"/>
          </rPr>
          <t>Chọn môn thi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Chọn cấp độ</t>
        </r>
      </text>
    </comment>
    <comment ref="X8" authorId="0" shapeId="0">
      <text>
        <r>
          <rPr>
            <sz val="9"/>
            <color indexed="81"/>
            <rFont val="Tahoma"/>
            <family val="2"/>
          </rPr>
          <t>Thông tin năm khóa đã thi của người đăng ký bắt buộc phải nhập.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<sst xmlns="http://schemas.openxmlformats.org/spreadsheetml/2006/main" count="2415" uniqueCount="1621">
  <si>
    <t>ID</t>
  </si>
  <si>
    <t>Property Name</t>
  </si>
  <si>
    <t>Column Name</t>
  </si>
  <si>
    <t>RowNo</t>
  </si>
  <si>
    <t>STT</t>
  </si>
  <si>
    <t>FullName</t>
  </si>
  <si>
    <t>Họ và tên</t>
  </si>
  <si>
    <t>Day</t>
  </si>
  <si>
    <t>Ngày sinh</t>
  </si>
  <si>
    <t>Month</t>
  </si>
  <si>
    <t>Tháng sinh</t>
  </si>
  <si>
    <t>Year</t>
  </si>
  <si>
    <t>Năm sinh</t>
  </si>
  <si>
    <t>Sex</t>
  </si>
  <si>
    <t>Giới tính</t>
  </si>
  <si>
    <t>PlaceOfBirth</t>
  </si>
  <si>
    <t>Nơi sinh</t>
  </si>
  <si>
    <t>Ethnic</t>
  </si>
  <si>
    <t>Dân tộc</t>
  </si>
  <si>
    <t>ResidentAddress</t>
  </si>
  <si>
    <t>Địa chỉ thường trú</t>
  </si>
  <si>
    <t>CurrentAddress</t>
  </si>
  <si>
    <t>Địa chỉ hiện tại</t>
  </si>
  <si>
    <t>ProvinceCode</t>
  </si>
  <si>
    <t>Tỉnh/TP</t>
  </si>
  <si>
    <t>DistrictCode</t>
  </si>
  <si>
    <t>Quận/Huyện</t>
  </si>
  <si>
    <t>Email</t>
  </si>
  <si>
    <t>PhoneNumbers</t>
  </si>
  <si>
    <t>Số điện thoại</t>
  </si>
  <si>
    <t>LearningCenter</t>
  </si>
  <si>
    <t>Học viên trung tâm</t>
  </si>
  <si>
    <t>CourseStartDate</t>
  </si>
  <si>
    <t>Đã học từ ngày</t>
  </si>
  <si>
    <t>CourseEndDate</t>
  </si>
  <si>
    <t>Đến ngày</t>
  </si>
  <si>
    <t>SubjectName</t>
  </si>
  <si>
    <t>Môn thi</t>
  </si>
  <si>
    <t>LevelName</t>
  </si>
  <si>
    <t>Cấp độ</t>
  </si>
  <si>
    <t>IsReserve</t>
  </si>
  <si>
    <t>Đăng ký bảo lưu</t>
  </si>
  <si>
    <t>ReservedNo</t>
  </si>
  <si>
    <t>Số BD bảo lưu</t>
  </si>
  <si>
    <t>ReservedDay</t>
  </si>
  <si>
    <t>Ngày khóa đã thi</t>
  </si>
  <si>
    <t>ReservedMonth</t>
  </si>
  <si>
    <t>Tháng khóa đã thi</t>
  </si>
  <si>
    <t>ReservedYear</t>
  </si>
  <si>
    <t>Năm khóa đã thi</t>
  </si>
  <si>
    <t>ReservedRoomNo</t>
  </si>
  <si>
    <t>Phòng thi</t>
  </si>
  <si>
    <t>ReservedLocation</t>
  </si>
  <si>
    <t>Địa điểm thi</t>
  </si>
  <si>
    <t>CourseStartDateDay</t>
  </si>
  <si>
    <t>Ngày đầu</t>
  </si>
  <si>
    <t>CourseStartDateMonth</t>
  </si>
  <si>
    <t>Tháng đầu</t>
  </si>
  <si>
    <t>CourseStartDateYear</t>
  </si>
  <si>
    <t>Năm đầu</t>
  </si>
  <si>
    <t>CourseEndDateDay</t>
  </si>
  <si>
    <t>Ngày cuối</t>
  </si>
  <si>
    <t>CourseEndDateMonth</t>
  </si>
  <si>
    <t>Tháng cuối</t>
  </si>
  <si>
    <t>CourseEndDateYear</t>
  </si>
  <si>
    <t>Năm cuối</t>
  </si>
  <si>
    <t>IsSMS</t>
  </si>
  <si>
    <t>Nhận tin nhắn</t>
  </si>
  <si>
    <t>PhoneSMS</t>
  </si>
  <si>
    <t>Số điện thoại nhận tin nhắn</t>
  </si>
  <si>
    <t>IsFax</t>
  </si>
  <si>
    <t>Nhận chuyển fax</t>
  </si>
  <si>
    <t>AddressFax</t>
  </si>
  <si>
    <t>Địa chỉ nhận chuyển fax</t>
  </si>
  <si>
    <t>DistrictFax</t>
  </si>
  <si>
    <t>Quận/Huyện nhận chuyển fax</t>
  </si>
  <si>
    <t>IdNo</t>
  </si>
  <si>
    <t>Số CMND</t>
  </si>
  <si>
    <t>ServiceName</t>
  </si>
  <si>
    <t>Loại chuyển fax</t>
  </si>
  <si>
    <t>676b5042-62fc-e511-9e48-00505681568e</t>
  </si>
  <si>
    <t>Lý Thuyết</t>
  </si>
  <si>
    <t>06032e4b-62fc-e511-9e48-00505681568e</t>
  </si>
  <si>
    <t>Thực Hành</t>
  </si>
  <si>
    <t>Mã Nơi Sinh</t>
  </si>
  <si>
    <t>Nơi Sinh</t>
  </si>
  <si>
    <t>AGG</t>
  </si>
  <si>
    <t>AN GIANG</t>
  </si>
  <si>
    <t>BCH</t>
  </si>
  <si>
    <t>BÌNH CHÁNH</t>
  </si>
  <si>
    <t>BDG</t>
  </si>
  <si>
    <t>BÌNH DƯƠNG</t>
  </si>
  <si>
    <t>BDH</t>
  </si>
  <si>
    <t>BÌNH ĐỊNH</t>
  </si>
  <si>
    <t>BGG</t>
  </si>
  <si>
    <t>BẮC GIANG</t>
  </si>
  <si>
    <t>BHA</t>
  </si>
  <si>
    <t>BIÊN HÒA</t>
  </si>
  <si>
    <t>BKN</t>
  </si>
  <si>
    <t>BẮC KẠN</t>
  </si>
  <si>
    <t>BLC</t>
  </si>
  <si>
    <t xml:space="preserve">BẾN LỨC </t>
  </si>
  <si>
    <t>BLU</t>
  </si>
  <si>
    <t>BẠC LIÊU</t>
  </si>
  <si>
    <t>BMTT</t>
  </si>
  <si>
    <t>B.M.THUỘT</t>
  </si>
  <si>
    <t>BNH</t>
  </si>
  <si>
    <t>BẮC NINH</t>
  </si>
  <si>
    <t>BPC</t>
  </si>
  <si>
    <t>BÌNH PHƯỚC</t>
  </si>
  <si>
    <t>BRA</t>
  </si>
  <si>
    <t>BÀ RỊA</t>
  </si>
  <si>
    <t>BRVT</t>
  </si>
  <si>
    <t>BÀ RỊA-VŨNG TÀU</t>
  </si>
  <si>
    <t>BTE</t>
  </si>
  <si>
    <t>BẾN TRE</t>
  </si>
  <si>
    <t>BTN</t>
  </si>
  <si>
    <t>BÌNH THUẬN</t>
  </si>
  <si>
    <t>BTTN</t>
  </si>
  <si>
    <t>B.TRỊ THIÊN</t>
  </si>
  <si>
    <t>CBE</t>
  </si>
  <si>
    <t>CÁI BÈ</t>
  </si>
  <si>
    <t>CBG</t>
  </si>
  <si>
    <t>CAO BẰNG</t>
  </si>
  <si>
    <t>CCI</t>
  </si>
  <si>
    <t>CỦ CHI</t>
  </si>
  <si>
    <t>CGC</t>
  </si>
  <si>
    <t>CẦN GIUỘC</t>
  </si>
  <si>
    <t>CLG</t>
  </si>
  <si>
    <t>CỬU LONG</t>
  </si>
  <si>
    <t>CLN</t>
  </si>
  <si>
    <t>CHỢ LỚN</t>
  </si>
  <si>
    <t>CMU</t>
  </si>
  <si>
    <t>CÀ MAU</t>
  </si>
  <si>
    <t>CPCA</t>
  </si>
  <si>
    <t>CAMPUCHIA</t>
  </si>
  <si>
    <t>CTO</t>
  </si>
  <si>
    <t>CẦN THƠ</t>
  </si>
  <si>
    <t>DBN</t>
  </si>
  <si>
    <t>ĐIỆN BIÊN</t>
  </si>
  <si>
    <t>DLK</t>
  </si>
  <si>
    <t>ĐĂKLĂK</t>
  </si>
  <si>
    <t>DLT</t>
  </si>
  <si>
    <t>ĐÀ LẠT</t>
  </si>
  <si>
    <t>DNG</t>
  </si>
  <si>
    <t>ĐÀ NẴNG</t>
  </si>
  <si>
    <t>DNG1</t>
  </si>
  <si>
    <t>ĐẮKNÔNG</t>
  </si>
  <si>
    <t>DNI</t>
  </si>
  <si>
    <t>ĐỒNG NAI</t>
  </si>
  <si>
    <t>DNOG</t>
  </si>
  <si>
    <t xml:space="preserve">ĐẮC NÔNG </t>
  </si>
  <si>
    <t>DSN</t>
  </si>
  <si>
    <t>ĐỒ SƠN</t>
  </si>
  <si>
    <t>DTP</t>
  </si>
  <si>
    <t>ĐỒNG THÁP</t>
  </si>
  <si>
    <t>DXN</t>
  </si>
  <si>
    <t xml:space="preserve">DUY XUYÊN </t>
  </si>
  <si>
    <t>GDH</t>
  </si>
  <si>
    <t>GIA ĐỊNH</t>
  </si>
  <si>
    <t>GDN</t>
  </si>
  <si>
    <t>GÒ ĐEN</t>
  </si>
  <si>
    <t>GLI</t>
  </si>
  <si>
    <t>GIA LAI</t>
  </si>
  <si>
    <t>GLKT</t>
  </si>
  <si>
    <t>G.LAI-KON TUM</t>
  </si>
  <si>
    <t>H</t>
  </si>
  <si>
    <t>TP. HCM</t>
  </si>
  <si>
    <t>HBC</t>
  </si>
  <si>
    <t>HÀ BẮC</t>
  </si>
  <si>
    <t>HBH</t>
  </si>
  <si>
    <t>HÒA BÌNH</t>
  </si>
  <si>
    <t>HDG</t>
  </si>
  <si>
    <t>HẢI DƯƠNG</t>
  </si>
  <si>
    <t>HDG1</t>
  </si>
  <si>
    <t xml:space="preserve">HÀ ĐÔNG </t>
  </si>
  <si>
    <t>HE</t>
  </si>
  <si>
    <t xml:space="preserve">TP.HUẾ </t>
  </si>
  <si>
    <t>HGG</t>
  </si>
  <si>
    <t>HÀ GIANG</t>
  </si>
  <si>
    <t>HGG1</t>
  </si>
  <si>
    <t>HẬU GIANG</t>
  </si>
  <si>
    <t>HHG</t>
  </si>
  <si>
    <t>HẢI HƯNG</t>
  </si>
  <si>
    <t>HKG</t>
  </si>
  <si>
    <t>HỒNG KÔNG</t>
  </si>
  <si>
    <t>HMN</t>
  </si>
  <si>
    <t xml:space="preserve">HÓC MÔN </t>
  </si>
  <si>
    <t>HNI</t>
  </si>
  <si>
    <t>HÀ NỘI</t>
  </si>
  <si>
    <t>HNM</t>
  </si>
  <si>
    <t>HÀ NAM</t>
  </si>
  <si>
    <t>HNNH</t>
  </si>
  <si>
    <t>HÀ NAM NINH</t>
  </si>
  <si>
    <t>HPG</t>
  </si>
  <si>
    <t>HẢI PHÒNG</t>
  </si>
  <si>
    <t>HSBH</t>
  </si>
  <si>
    <t>HÀ SƠN BÌNH</t>
  </si>
  <si>
    <t>HTH</t>
  </si>
  <si>
    <t>HÀ TĨNH</t>
  </si>
  <si>
    <t>HTY</t>
  </si>
  <si>
    <t>HÀ TÂY</t>
  </si>
  <si>
    <t>HYN</t>
  </si>
  <si>
    <t>HƯNG YÊN</t>
  </si>
  <si>
    <t>KGG</t>
  </si>
  <si>
    <t>KIÊN GIANG</t>
  </si>
  <si>
    <t>KHA</t>
  </si>
  <si>
    <t>KHÁNH HÒA</t>
  </si>
  <si>
    <t>KPC</t>
  </si>
  <si>
    <t>KTM</t>
  </si>
  <si>
    <t>KON TUM</t>
  </si>
  <si>
    <t>LAN</t>
  </si>
  <si>
    <t>LONG AN</t>
  </si>
  <si>
    <t>LCI</t>
  </si>
  <si>
    <t>LÀO CAI</t>
  </si>
  <si>
    <t>LCU</t>
  </si>
  <si>
    <t>LAI CHÂU</t>
  </si>
  <si>
    <t>LDG</t>
  </si>
  <si>
    <t>LÂM ĐỒNG</t>
  </si>
  <si>
    <t>LKH</t>
  </si>
  <si>
    <t>LONG KHÁNH</t>
  </si>
  <si>
    <t>LSN</t>
  </si>
  <si>
    <t>LẠNG SƠN</t>
  </si>
  <si>
    <t>LTN</t>
  </si>
  <si>
    <t xml:space="preserve">LỘC THUẬN </t>
  </si>
  <si>
    <t>LXN</t>
  </si>
  <si>
    <t xml:space="preserve">LONG XUYÊN </t>
  </si>
  <si>
    <t>MHI</t>
  </si>
  <si>
    <t>MINH HẢI</t>
  </si>
  <si>
    <t>NAN</t>
  </si>
  <si>
    <t>NGHỆ AN</t>
  </si>
  <si>
    <t>NBH</t>
  </si>
  <si>
    <t>NINH BÌNH</t>
  </si>
  <si>
    <t>NDH</t>
  </si>
  <si>
    <t>NAM ĐỊNH</t>
  </si>
  <si>
    <t>NHA</t>
  </si>
  <si>
    <t>NAM HÀ</t>
  </si>
  <si>
    <t>NTG</t>
  </si>
  <si>
    <t>NHA TRANG</t>
  </si>
  <si>
    <t>NTH</t>
  </si>
  <si>
    <t>NGHỆ TĨNH</t>
  </si>
  <si>
    <t>NTN</t>
  </si>
  <si>
    <t>NINH THUẬN</t>
  </si>
  <si>
    <t>NVG</t>
  </si>
  <si>
    <t xml:space="preserve">NAM VANG </t>
  </si>
  <si>
    <t>PCG</t>
  </si>
  <si>
    <t>PHÚ CƯỜNG</t>
  </si>
  <si>
    <t>PKH</t>
  </si>
  <si>
    <t>PHÚ KHÁNH</t>
  </si>
  <si>
    <t>PKU</t>
  </si>
  <si>
    <t>PLEIKU</t>
  </si>
  <si>
    <t>PLG</t>
  </si>
  <si>
    <t>PHƯỚC LONG</t>
  </si>
  <si>
    <t>PMY</t>
  </si>
  <si>
    <t xml:space="preserve">PHÚ MỸ </t>
  </si>
  <si>
    <t>PNP</t>
  </si>
  <si>
    <t>PHNÔM PÊNH</t>
  </si>
  <si>
    <t>PQC</t>
  </si>
  <si>
    <t>PHÚ QUỐC</t>
  </si>
  <si>
    <t>PRG</t>
  </si>
  <si>
    <t>PHAN RANG</t>
  </si>
  <si>
    <t>PTO</t>
  </si>
  <si>
    <t>PHÚ THỌ</t>
  </si>
  <si>
    <t>PTT</t>
  </si>
  <si>
    <t>PHAN THIẾT</t>
  </si>
  <si>
    <t>PYN</t>
  </si>
  <si>
    <t>PHÚ YÊN</t>
  </si>
  <si>
    <t>QBH</t>
  </si>
  <si>
    <t>QUẢNG BÌNH</t>
  </si>
  <si>
    <t>QNH</t>
  </si>
  <si>
    <t>QUẢNG NINH</t>
  </si>
  <si>
    <t>QNDN</t>
  </si>
  <si>
    <t>QN-ĐÀ NẴNG</t>
  </si>
  <si>
    <t>QNI</t>
  </si>
  <si>
    <t>QUẢNG NGÃI</t>
  </si>
  <si>
    <t>QNM</t>
  </si>
  <si>
    <t>QUẢNG NAM</t>
  </si>
  <si>
    <t>QNN</t>
  </si>
  <si>
    <t>QUY NHƠN</t>
  </si>
  <si>
    <t>QTI</t>
  </si>
  <si>
    <t>QUẢNG TRỊ</t>
  </si>
  <si>
    <t>SBE</t>
  </si>
  <si>
    <t>SÔNG BÉ</t>
  </si>
  <si>
    <t>SDC</t>
  </si>
  <si>
    <t>SA ĐÉC</t>
  </si>
  <si>
    <t>SGN</t>
  </si>
  <si>
    <t>SÀI GÒN</t>
  </si>
  <si>
    <t>SLA</t>
  </si>
  <si>
    <t>SƠN LA</t>
  </si>
  <si>
    <t>STG</t>
  </si>
  <si>
    <t>SÓC TRĂNG</t>
  </si>
  <si>
    <t>STY</t>
  </si>
  <si>
    <t xml:space="preserve">SƠN TÂY </t>
  </si>
  <si>
    <t>TBH</t>
  </si>
  <si>
    <t>THÁI BÌNH</t>
  </si>
  <si>
    <t>TCM</t>
  </si>
  <si>
    <t>THÁP CHÀM</t>
  </si>
  <si>
    <t>TDC</t>
  </si>
  <si>
    <t>THỦ ĐỨC</t>
  </si>
  <si>
    <t>TGG</t>
  </si>
  <si>
    <t>TIỀN GIANG</t>
  </si>
  <si>
    <t>THA</t>
  </si>
  <si>
    <t>THANH HÓA</t>
  </si>
  <si>
    <t>THI</t>
  </si>
  <si>
    <t xml:space="preserve">THUẬN HẢI </t>
  </si>
  <si>
    <t>TNH</t>
  </si>
  <si>
    <t>TÂY NINH</t>
  </si>
  <si>
    <t>TNN</t>
  </si>
  <si>
    <t>THÁI NGUYÊN</t>
  </si>
  <si>
    <t>TQG</t>
  </si>
  <si>
    <t>TUYÊN QUANG</t>
  </si>
  <si>
    <t>TTH</t>
  </si>
  <si>
    <t>THỪA T. HUẾ</t>
  </si>
  <si>
    <t>TTN</t>
  </si>
  <si>
    <t>THỪA THIÊN</t>
  </si>
  <si>
    <t>TVH</t>
  </si>
  <si>
    <t>TRÀ VINH</t>
  </si>
  <si>
    <t>VLG</t>
  </si>
  <si>
    <t>VĨNH LONG</t>
  </si>
  <si>
    <t>VPC</t>
  </si>
  <si>
    <t>VĨNH PHÚC</t>
  </si>
  <si>
    <t>VPU</t>
  </si>
  <si>
    <t xml:space="preserve">VĨNH PHÚ </t>
  </si>
  <si>
    <t>VTU</t>
  </si>
  <si>
    <t>VŨNG TÀU</t>
  </si>
  <si>
    <t>YBI</t>
  </si>
  <si>
    <t>YÊN BÁI</t>
  </si>
  <si>
    <t>AFG</t>
  </si>
  <si>
    <t>CHHG AFGHANISTAN</t>
  </si>
  <si>
    <t>AX</t>
  </si>
  <si>
    <t>ÅLAND ISLANDS</t>
  </si>
  <si>
    <t>AL</t>
  </si>
  <si>
    <t>CỘNG HÒA ALBANIA</t>
  </si>
  <si>
    <t>DZ</t>
  </si>
  <si>
    <t>CHDCND ALGÉRIE</t>
  </si>
  <si>
    <t>AS</t>
  </si>
  <si>
    <t>AMERICAN SAMOA</t>
  </si>
  <si>
    <t>AD</t>
  </si>
  <si>
    <t>CÔNG QUỐC ANDORRA</t>
  </si>
  <si>
    <t>AGO</t>
  </si>
  <si>
    <t>CỘNG HÒA ANGOLA</t>
  </si>
  <si>
    <t>AI</t>
  </si>
  <si>
    <t>ANGUILLA</t>
  </si>
  <si>
    <t>AQ</t>
  </si>
  <si>
    <t>ANTARCTICA</t>
  </si>
  <si>
    <t>AGB</t>
  </si>
  <si>
    <t>LB ANTIGUA VÀ BARBUDA</t>
  </si>
  <si>
    <t>AR</t>
  </si>
  <si>
    <t>CH ARGENTINA</t>
  </si>
  <si>
    <t>AM</t>
  </si>
  <si>
    <t>CH ARMENIA</t>
  </si>
  <si>
    <t>AW</t>
  </si>
  <si>
    <t>ARUBA</t>
  </si>
  <si>
    <t>UC</t>
  </si>
  <si>
    <t>ÚC</t>
  </si>
  <si>
    <t>AO</t>
  </si>
  <si>
    <t>CH ÁO</t>
  </si>
  <si>
    <t>AZ</t>
  </si>
  <si>
    <t>CH AZERBAIJAN</t>
  </si>
  <si>
    <t>BS</t>
  </si>
  <si>
    <t>LB BAHAMAS</t>
  </si>
  <si>
    <t>BHN</t>
  </si>
  <si>
    <t>VƯƠNG QUỐC BAHRAIN</t>
  </si>
  <si>
    <t>BDE</t>
  </si>
  <si>
    <t>CHND BANGLADESH</t>
  </si>
  <si>
    <t>BB</t>
  </si>
  <si>
    <t>LIÊN BANG BARBADOS</t>
  </si>
  <si>
    <t>BY</t>
  </si>
  <si>
    <t>CỘNG HÒA BELARUS</t>
  </si>
  <si>
    <t>BI</t>
  </si>
  <si>
    <t>VƯƠNG QUỐC BỈ</t>
  </si>
  <si>
    <t>BZ</t>
  </si>
  <si>
    <t>LIÊN BANG BELIZE</t>
  </si>
  <si>
    <t>BEN</t>
  </si>
  <si>
    <t>CỘNG HÒA BENIN</t>
  </si>
  <si>
    <t>BM</t>
  </si>
  <si>
    <t>BERMUDA</t>
  </si>
  <si>
    <t>BTA</t>
  </si>
  <si>
    <t>VƯƠNG QUỐC BHUTAN</t>
  </si>
  <si>
    <t>BLI</t>
  </si>
  <si>
    <t>NHÀ NƯỚC BOLIVIA</t>
  </si>
  <si>
    <t>BOS</t>
  </si>
  <si>
    <t>CỘNG HÒA BOSNA VÀ HERCEGOVINA</t>
  </si>
  <si>
    <t>BW</t>
  </si>
  <si>
    <t>CỘNG HÒA BOTSWANA</t>
  </si>
  <si>
    <t>BV</t>
  </si>
  <si>
    <t>BOUVET ISLAND</t>
  </si>
  <si>
    <t>BRL</t>
  </si>
  <si>
    <t>BRAZIL</t>
  </si>
  <si>
    <t>IO</t>
  </si>
  <si>
    <t>BRITISH INDIAN OCEAN TERRITORY</t>
  </si>
  <si>
    <t>BN</t>
  </si>
  <si>
    <t>VƯƠNG QUỐC BRUNEI</t>
  </si>
  <si>
    <t>BG</t>
  </si>
  <si>
    <t>CỘNG HÒA BULGARIA</t>
  </si>
  <si>
    <t>BF</t>
  </si>
  <si>
    <t>CỘNG HÒA BURKINA FASO</t>
  </si>
  <si>
    <t>BUR</t>
  </si>
  <si>
    <t>CỘNG HÒA BURUNDI</t>
  </si>
  <si>
    <t>CMN</t>
  </si>
  <si>
    <t>CỘNG HÒA CAMEROON</t>
  </si>
  <si>
    <t>CAD</t>
  </si>
  <si>
    <t>CANADA</t>
  </si>
  <si>
    <t>CV</t>
  </si>
  <si>
    <t>CỘNG HÒA CAPE VERDE</t>
  </si>
  <si>
    <t>CAY</t>
  </si>
  <si>
    <t>QUẦN ĐẢO CAYMAN</t>
  </si>
  <si>
    <t>TRP</t>
  </si>
  <si>
    <t>CỘNG HÒA TRUNG PHI</t>
  </si>
  <si>
    <t>TD</t>
  </si>
  <si>
    <t>CHAD</t>
  </si>
  <si>
    <t>CLE</t>
  </si>
  <si>
    <t>CHI LÊ</t>
  </si>
  <si>
    <t>CX</t>
  </si>
  <si>
    <t>CHRISTMAS ISLAND</t>
  </si>
  <si>
    <t>CC</t>
  </si>
  <si>
    <t>QUẦN ĐẢO COCOS</t>
  </si>
  <si>
    <t>CO</t>
  </si>
  <si>
    <t>CỘNG HÒA COLOMBIA</t>
  </si>
  <si>
    <t>CMS</t>
  </si>
  <si>
    <t>LIÊN BANG COMOROS</t>
  </si>
  <si>
    <t>CG</t>
  </si>
  <si>
    <t>CỘNG HÒA CONGO</t>
  </si>
  <si>
    <t>CK</t>
  </si>
  <si>
    <t>QUẦN ĐẢO COOK</t>
  </si>
  <si>
    <t>CR</t>
  </si>
  <si>
    <t>CÔNG HÒA COSTA RICA</t>
  </si>
  <si>
    <t>CI</t>
  </si>
  <si>
    <t>CÔTE D</t>
  </si>
  <si>
    <t>HR</t>
  </si>
  <si>
    <t>CỘNG HÒA CROATIA</t>
  </si>
  <si>
    <t>CU</t>
  </si>
  <si>
    <t>CUBA</t>
  </si>
  <si>
    <t>CY</t>
  </si>
  <si>
    <t>CYPRUS</t>
  </si>
  <si>
    <t>CZ</t>
  </si>
  <si>
    <t>CỘNG HÒA SÉC</t>
  </si>
  <si>
    <t>DMH</t>
  </si>
  <si>
    <t>ĐAN MẠCH</t>
  </si>
  <si>
    <t>DJ</t>
  </si>
  <si>
    <t>CỘNG HÒA DJIBOUTI</t>
  </si>
  <si>
    <t>DM</t>
  </si>
  <si>
    <t>LIÊN BANG DOMINICA</t>
  </si>
  <si>
    <t>DO</t>
  </si>
  <si>
    <t>CỘNG HÒA DOMINICAN</t>
  </si>
  <si>
    <t>EC</t>
  </si>
  <si>
    <t>CỘNG HÒA ECUADOR</t>
  </si>
  <si>
    <t>ACP</t>
  </si>
  <si>
    <t>AI CẬP</t>
  </si>
  <si>
    <t>SV</t>
  </si>
  <si>
    <t>CỘNG HÒA EL SALVADOR</t>
  </si>
  <si>
    <t>EQG</t>
  </si>
  <si>
    <t>EQUATORIAL GUINEA</t>
  </si>
  <si>
    <t>ER</t>
  </si>
  <si>
    <t>ERITREA</t>
  </si>
  <si>
    <t>EST</t>
  </si>
  <si>
    <t>ESTONIA</t>
  </si>
  <si>
    <t>ET</t>
  </si>
  <si>
    <t>ETHIOPIA</t>
  </si>
  <si>
    <t>FK</t>
  </si>
  <si>
    <t>ĐẢO FALKLAND</t>
  </si>
  <si>
    <t>FO</t>
  </si>
  <si>
    <t>ĐẢO FAROE</t>
  </si>
  <si>
    <t>FJ</t>
  </si>
  <si>
    <t>CỘNG HÒA FIJI</t>
  </si>
  <si>
    <t>PLN</t>
  </si>
  <si>
    <t>PHẦN LAN</t>
  </si>
  <si>
    <t>PHA</t>
  </si>
  <si>
    <t>PHÁP</t>
  </si>
  <si>
    <t>GUI</t>
  </si>
  <si>
    <t>GUIANA</t>
  </si>
  <si>
    <t>POL</t>
  </si>
  <si>
    <t>POLYNESIA</t>
  </si>
  <si>
    <t>MNP</t>
  </si>
  <si>
    <t>MIỀN NAM PHÁP</t>
  </si>
  <si>
    <t>GAB</t>
  </si>
  <si>
    <t>CH GABON</t>
  </si>
  <si>
    <t>GM</t>
  </si>
  <si>
    <t>CH GAMBIA</t>
  </si>
  <si>
    <t>GE</t>
  </si>
  <si>
    <t>LIÊN BANGGEORGIA</t>
  </si>
  <si>
    <t>ĐC</t>
  </si>
  <si>
    <t>ĐỨC</t>
  </si>
  <si>
    <t>GHA</t>
  </si>
  <si>
    <t>CH GHANA</t>
  </si>
  <si>
    <t>GI</t>
  </si>
  <si>
    <t>GIBRALTAR</t>
  </si>
  <si>
    <t>HLP</t>
  </si>
  <si>
    <t>HY LẠP</t>
  </si>
  <si>
    <t>GLD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</si>
  <si>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</si>
  <si>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</si>
  <si>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</si>
  <si>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</si>
  <si>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</si>
  <si>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</si>
  <si>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</si>
  <si>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</si>
  <si>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</si>
  <si>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GN</t>
  </si>
  <si>
    <t>GUINEA</t>
  </si>
  <si>
    <t>GW</t>
  </si>
  <si>
    <t>GUINEA-BISSAU</t>
  </si>
  <si>
    <t>GY</t>
  </si>
  <si>
    <t>GUYANA</t>
  </si>
  <si>
    <t>HT</t>
  </si>
  <si>
    <t>CỘNG HÒA HAITI</t>
  </si>
  <si>
    <t>HM</t>
  </si>
  <si>
    <t>ĐẢO HEARD VÀ ĐẢO MCDONALD</t>
  </si>
  <si>
    <t>VA</t>
  </si>
  <si>
    <t>HOLY SEE (VATICAN CITY STATE)</t>
  </si>
  <si>
    <t>HN</t>
  </si>
  <si>
    <t>HONDURAS</t>
  </si>
  <si>
    <t>HK</t>
  </si>
  <si>
    <t>HU</t>
  </si>
  <si>
    <t>HUNGARY</t>
  </si>
  <si>
    <t>IS</t>
  </si>
  <si>
    <t>ICELAND</t>
  </si>
  <si>
    <t>ADO</t>
  </si>
  <si>
    <t>ẤN ĐỘ</t>
  </si>
  <si>
    <t>INDONESIA</t>
  </si>
  <si>
    <t>IR</t>
  </si>
  <si>
    <t>IRAN</t>
  </si>
  <si>
    <t>IQ</t>
  </si>
  <si>
    <t>IRAQ</t>
  </si>
  <si>
    <t>IE</t>
  </si>
  <si>
    <t>IRELAND</t>
  </si>
  <si>
    <t>IL</t>
  </si>
  <si>
    <t>ISRAEL</t>
  </si>
  <si>
    <t>Y</t>
  </si>
  <si>
    <t>Ý</t>
  </si>
  <si>
    <t>JM</t>
  </si>
  <si>
    <t>JAMAICA</t>
  </si>
  <si>
    <t>NBN</t>
  </si>
  <si>
    <t>NHẬT BẢN</t>
  </si>
  <si>
    <t>JO</t>
  </si>
  <si>
    <t>JORDAN</t>
  </si>
  <si>
    <t>KZ</t>
  </si>
  <si>
    <t>CH KAZAKHSTAN</t>
  </si>
  <si>
    <t>KE</t>
  </si>
  <si>
    <t>CH KENYA</t>
  </si>
  <si>
    <t>KI</t>
  </si>
  <si>
    <t>CH KIRIBATI</t>
  </si>
  <si>
    <t>HQC</t>
  </si>
  <si>
    <t>HÀN QUỐC</t>
  </si>
  <si>
    <t>KW</t>
  </si>
  <si>
    <t>KUWAIT</t>
  </si>
  <si>
    <t>KGN</t>
  </si>
  <si>
    <t>KYRGYZSTAN</t>
  </si>
  <si>
    <t>LAO</t>
  </si>
  <si>
    <t>LÀO</t>
  </si>
  <si>
    <t>LV</t>
  </si>
  <si>
    <t>CH LATVIA</t>
  </si>
  <si>
    <t>LB</t>
  </si>
  <si>
    <t>LEBANON</t>
  </si>
  <si>
    <t>LS</t>
  </si>
  <si>
    <t>VƯƠNG QUỐC LESOTHO</t>
  </si>
  <si>
    <t>LIR</t>
  </si>
  <si>
    <t>CỘNG HÒA LIBERIA</t>
  </si>
  <si>
    <t>LYJ</t>
  </si>
  <si>
    <t>LIBYAN ARAB JAMAHIRIYA</t>
  </si>
  <si>
    <t>LI</t>
  </si>
  <si>
    <t>LIECHTENSTEIN</t>
  </si>
  <si>
    <t>LT</t>
  </si>
  <si>
    <t>LITHUANIA</t>
  </si>
  <si>
    <t>LU</t>
  </si>
  <si>
    <t>LUXEMBOURG</t>
  </si>
  <si>
    <t>MAC</t>
  </si>
  <si>
    <t>MACAO</t>
  </si>
  <si>
    <t>MK</t>
  </si>
  <si>
    <t>MACEDONIA</t>
  </si>
  <si>
    <t>MG</t>
  </si>
  <si>
    <t>MADAGASCAR</t>
  </si>
  <si>
    <t>MW</t>
  </si>
  <si>
    <t>MALAWI</t>
  </si>
  <si>
    <t>MY</t>
  </si>
  <si>
    <t>MALAYSIA</t>
  </si>
  <si>
    <t>MV</t>
  </si>
  <si>
    <t>MALDIVES</t>
  </si>
  <si>
    <t>ML</t>
  </si>
  <si>
    <t>MALI</t>
  </si>
  <si>
    <t>MT</t>
  </si>
  <si>
    <t>MALTA</t>
  </si>
  <si>
    <t>MHS</t>
  </si>
  <si>
    <t>QUẦN ĐẢO MARSHALL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</si>
  <si>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</si>
  <si>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</si>
  <si>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</si>
  <si>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</si>
  <si>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</si>
  <si>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</si>
  <si>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</si>
  <si>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</si>
  <si>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MX</t>
  </si>
  <si>
    <t>MEXICO</t>
  </si>
  <si>
    <t>FM</t>
  </si>
  <si>
    <t>LB MICRONESIA</t>
  </si>
  <si>
    <t>MD</t>
  </si>
  <si>
    <t>CÔNG HÒA MOLDOV</t>
  </si>
  <si>
    <t>MC</t>
  </si>
  <si>
    <t>MONACO</t>
  </si>
  <si>
    <t>MCO</t>
  </si>
  <si>
    <t>MÔNG CỔ</t>
  </si>
  <si>
    <t>MS</t>
  </si>
  <si>
    <t>MONTSERRAT</t>
  </si>
  <si>
    <t>MOR</t>
  </si>
  <si>
    <t>MOROC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</si>
  <si>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</si>
  <si>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</si>
  <si>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</si>
  <si>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</si>
  <si>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</si>
  <si>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</si>
  <si>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</si>
  <si>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</si>
  <si>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</si>
  <si>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</si>
  <si>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HLN</t>
  </si>
  <si>
    <t>HÀ LAN</t>
  </si>
  <si>
    <t>ATH</t>
  </si>
  <si>
    <t>ANTILLE THUỘC HÀ LAN</t>
  </si>
  <si>
    <t>NCA</t>
  </si>
  <si>
    <t>NEW CALEDONIA</t>
  </si>
  <si>
    <t>NZD</t>
  </si>
  <si>
    <t>NEW ZEALAND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</si>
  <si>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</si>
  <si>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</si>
  <si>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</si>
  <si>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</si>
  <si>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</si>
  <si>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</si>
  <si>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</si>
  <si>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</si>
  <si>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</si>
  <si>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ISLAND</t>
  </si>
  <si>
    <t>MP</t>
  </si>
  <si>
    <t>BẮC MARIANA</t>
  </si>
  <si>
    <t>NUY</t>
  </si>
  <si>
    <t>NA UY</t>
  </si>
  <si>
    <t>OM</t>
  </si>
  <si>
    <t>OMAN</t>
  </si>
  <si>
    <t>PK</t>
  </si>
  <si>
    <t>PAKISTAN</t>
  </si>
  <si>
    <t>PW</t>
  </si>
  <si>
    <t>PALAU</t>
  </si>
  <si>
    <t>PS</t>
  </si>
  <si>
    <t>PALESTINE</t>
  </si>
  <si>
    <t>PA</t>
  </si>
  <si>
    <t>PANAMA</t>
  </si>
  <si>
    <t>PG</t>
  </si>
  <si>
    <t>PAPUA NEW GUINEA</t>
  </si>
  <si>
    <t>PY</t>
  </si>
  <si>
    <t>PARAGUAY</t>
  </si>
  <si>
    <t>PE</t>
  </si>
  <si>
    <t>PERU</t>
  </si>
  <si>
    <t>PHI</t>
  </si>
  <si>
    <t>PHILIPPINES</t>
  </si>
  <si>
    <t>PN</t>
  </si>
  <si>
    <t>PITCAIRN</t>
  </si>
  <si>
    <t>BLN</t>
  </si>
  <si>
    <t>CH BA LAN</t>
  </si>
  <si>
    <t>PT</t>
  </si>
  <si>
    <t>BỒ ĐÀO NHA</t>
  </si>
  <si>
    <t>PR</t>
  </si>
  <si>
    <t>PUERTO RICO</t>
  </si>
  <si>
    <t>QA</t>
  </si>
  <si>
    <t>QATAR</t>
  </si>
  <si>
    <t>RE</t>
  </si>
  <si>
    <t>RÉUNION</t>
  </si>
  <si>
    <t>RO</t>
  </si>
  <si>
    <t>ROMANIA</t>
  </si>
  <si>
    <t>LBN</t>
  </si>
  <si>
    <t>LIÊN BANG NGA</t>
  </si>
  <si>
    <t>RW</t>
  </si>
  <si>
    <t>RWANDA</t>
  </si>
  <si>
    <t>SH</t>
  </si>
  <si>
    <t>SAINT HELENA</t>
  </si>
  <si>
    <t>KN</t>
  </si>
  <si>
    <t>SAINT KITTS VÀ NEVIS</t>
  </si>
  <si>
    <t>LC</t>
  </si>
  <si>
    <t>SAINT LUCIA</t>
  </si>
  <si>
    <t>PM</t>
  </si>
  <si>
    <t>SAINT PIERRE VÀ MIQUELON</t>
  </si>
  <si>
    <t>VC</t>
  </si>
  <si>
    <t>SAINT VINCENT VÀ THE GRENADINES</t>
  </si>
  <si>
    <t>WS</t>
  </si>
  <si>
    <t>SAMOA</t>
  </si>
  <si>
    <t>SM</t>
  </si>
  <si>
    <t>SAN MARINO</t>
  </si>
  <si>
    <t>STE</t>
  </si>
  <si>
    <t>SAO TOME VÀ PRINCIPE</t>
  </si>
  <si>
    <t>ARS</t>
  </si>
  <si>
    <t>Ả RẬP SAUDI</t>
  </si>
  <si>
    <t>SN</t>
  </si>
  <si>
    <t>SENEGAL</t>
  </si>
  <si>
    <t>CS</t>
  </si>
  <si>
    <t>SERBIA VÀ MONTENEGRO</t>
  </si>
  <si>
    <t>SC</t>
  </si>
  <si>
    <t>SEYCHELLES</t>
  </si>
  <si>
    <t>SL</t>
  </si>
  <si>
    <t>SIERRA LEONE</t>
  </si>
  <si>
    <t>SG</t>
  </si>
  <si>
    <t>SINGAPORE</t>
  </si>
  <si>
    <t>SK</t>
  </si>
  <si>
    <t>SLOVAKIA</t>
  </si>
  <si>
    <t>SI</t>
  </si>
  <si>
    <t>SLOVENIA</t>
  </si>
  <si>
    <t>SBS</t>
  </si>
  <si>
    <t>QUẦN ĐẢO SOLOMON</t>
  </si>
  <si>
    <t>SO</t>
  </si>
  <si>
    <t>SOMALIA</t>
  </si>
  <si>
    <t>NPI</t>
  </si>
  <si>
    <t>NAM PHI</t>
  </si>
  <si>
    <t>GS</t>
  </si>
  <si>
    <t>NAM GEORGIA VÀ NAM SANDWICH</t>
  </si>
  <si>
    <t>TBN</t>
  </si>
  <si>
    <t>TÂY BAN NHA</t>
  </si>
  <si>
    <t>LKA</t>
  </si>
  <si>
    <t>SRI LANKA</t>
  </si>
  <si>
    <t>SDN</t>
  </si>
  <si>
    <t>SUDAN</t>
  </si>
  <si>
    <t>SR</t>
  </si>
  <si>
    <t>SURINAME</t>
  </si>
  <si>
    <t>SJ</t>
  </si>
  <si>
    <t>SVALBARD VÀ JAN MAYEN</t>
  </si>
  <si>
    <t>SZ</t>
  </si>
  <si>
    <t>SWAZILAND</t>
  </si>
  <si>
    <t>TDN</t>
  </si>
  <si>
    <t>THỤY ĐIỂN</t>
  </si>
  <si>
    <t>TSI</t>
  </si>
  <si>
    <t>THỤY SĨ</t>
  </si>
  <si>
    <t>SY</t>
  </si>
  <si>
    <t>CỘNG HÒA SYRIAN ARAB</t>
  </si>
  <si>
    <t>TJ</t>
  </si>
  <si>
    <t>TAJIKISTAN</t>
  </si>
  <si>
    <t>TZ</t>
  </si>
  <si>
    <t>TANZANIA</t>
  </si>
  <si>
    <t>TLN</t>
  </si>
  <si>
    <t>THÁI LAN</t>
  </si>
  <si>
    <t>TIR</t>
  </si>
  <si>
    <t>ĐÔNG TIMOR</t>
  </si>
  <si>
    <t>TG</t>
  </si>
  <si>
    <t>TOGO</t>
  </si>
  <si>
    <t>TK</t>
  </si>
  <si>
    <t>TOKELAU</t>
  </si>
  <si>
    <t>TO</t>
  </si>
  <si>
    <t>TONGA</t>
  </si>
  <si>
    <t>TT</t>
  </si>
  <si>
    <t>TRINIDAD VÀ TOBAGO</t>
  </si>
  <si>
    <t>TN</t>
  </si>
  <si>
    <t>TUNISIA</t>
  </si>
  <si>
    <t>TNK</t>
  </si>
  <si>
    <t>THỔ NHĨ KỲ</t>
  </si>
  <si>
    <t>TM</t>
  </si>
  <si>
    <t>TURKMENISTAN</t>
  </si>
  <si>
    <t>TC</t>
  </si>
  <si>
    <t>TURKS VÀ CAICOS</t>
  </si>
  <si>
    <t>TVU</t>
  </si>
  <si>
    <t>TUVALU</t>
  </si>
  <si>
    <t>UG</t>
  </si>
  <si>
    <t>UGANDA</t>
  </si>
  <si>
    <t>UA</t>
  </si>
  <si>
    <t>UKRAINE</t>
  </si>
  <si>
    <t>AE</t>
  </si>
  <si>
    <t>TIỂU VƯƠNG QUỐC Ả RẬP THỐNG NHẤT</t>
  </si>
  <si>
    <t>ANH</t>
  </si>
  <si>
    <t>US</t>
  </si>
  <si>
    <t>HOA KỲ</t>
  </si>
  <si>
    <t>UM</t>
  </si>
  <si>
    <t>UNITED STATES MINOR OUTLYING ISLANDS</t>
  </si>
  <si>
    <t>UY</t>
  </si>
  <si>
    <t>URUGUAY</t>
  </si>
  <si>
    <t>UZ</t>
  </si>
  <si>
    <t>UZBEKISTAN</t>
  </si>
  <si>
    <t>VU</t>
  </si>
  <si>
    <t>VANUATU</t>
  </si>
  <si>
    <t>VAE</t>
  </si>
  <si>
    <t>VATICAN CITY STATE SEE HOLY SEE</t>
  </si>
  <si>
    <t>VE</t>
  </si>
  <si>
    <t>VENEZUELA</t>
  </si>
  <si>
    <t>VG</t>
  </si>
  <si>
    <t>QUẦN ĐẢO VIRGIN BRITISH</t>
  </si>
  <si>
    <t>VI</t>
  </si>
  <si>
    <t>QUẦN ĐẢO VIRGIN, HOA KỲ</t>
  </si>
  <si>
    <t>WF</t>
  </si>
  <si>
    <t>WALLIS VÀ FUTUNA</t>
  </si>
  <si>
    <t>EH</t>
  </si>
  <si>
    <t>TÂY SAHARA</t>
  </si>
  <si>
    <t>ZM</t>
  </si>
  <si>
    <t>ZAMBIA</t>
  </si>
  <si>
    <t>ZW</t>
  </si>
  <si>
    <t>ZIMBABWE</t>
  </si>
  <si>
    <t>VIRGIN ISLANDS, BRITISH</t>
  </si>
  <si>
    <t>VIRGIN ISLANDS, U.S.</t>
  </si>
  <si>
    <t>WALLIS AND FUTUNA</t>
  </si>
  <si>
    <t>WESTERN SAHARA</t>
  </si>
  <si>
    <t>YE</t>
  </si>
  <si>
    <t>YEMEN</t>
  </si>
  <si>
    <t>TQ</t>
  </si>
  <si>
    <t>TRUNG QUỐC</t>
  </si>
  <si>
    <t>DL</t>
  </si>
  <si>
    <t>ĐÀI LOAN</t>
  </si>
  <si>
    <t>Loại dịch vụ</t>
  </si>
  <si>
    <t>Quận 1</t>
  </si>
  <si>
    <t>TP Hồ Chí Minh</t>
  </si>
  <si>
    <t>Ứng dụng CNTT</t>
  </si>
  <si>
    <t>Kỹ Thuật Viên</t>
  </si>
  <si>
    <t>Kinh</t>
  </si>
  <si>
    <t>Tận tay</t>
  </si>
  <si>
    <t>Quận 2</t>
  </si>
  <si>
    <t>Thành Phố Hà Nội</t>
  </si>
  <si>
    <t>Tin Học</t>
  </si>
  <si>
    <t>Cơ bản</t>
  </si>
  <si>
    <t>Tày</t>
  </si>
  <si>
    <t>Quận 3</t>
  </si>
  <si>
    <t>Tỉnh Hà Giang</t>
  </si>
  <si>
    <t>Nâng cao</t>
  </si>
  <si>
    <t>Thái</t>
  </si>
  <si>
    <t>Quận 4</t>
  </si>
  <si>
    <t>Tỉnh Cao Bằng</t>
  </si>
  <si>
    <t>A</t>
  </si>
  <si>
    <t>Hoa</t>
  </si>
  <si>
    <t>Quận 5</t>
  </si>
  <si>
    <t>Tỉnh Bắc Kạn</t>
  </si>
  <si>
    <t>B</t>
  </si>
  <si>
    <t>Khơ-me</t>
  </si>
  <si>
    <t>Quận 6</t>
  </si>
  <si>
    <t>Tỉnh Tuyên Quang</t>
  </si>
  <si>
    <t>Mường</t>
  </si>
  <si>
    <t>Quận 7</t>
  </si>
  <si>
    <t>Tỉnh Lào Cai</t>
  </si>
  <si>
    <t>Nùng</t>
  </si>
  <si>
    <t>Quận 8</t>
  </si>
  <si>
    <t>Tỉnh Điện Biên</t>
  </si>
  <si>
    <t>Hmông</t>
  </si>
  <si>
    <t>Quận 9</t>
  </si>
  <si>
    <t>Tỉnh Lai Châu</t>
  </si>
  <si>
    <t>Dao</t>
  </si>
  <si>
    <t>Quận 10</t>
  </si>
  <si>
    <t>Tỉnh Sơn La</t>
  </si>
  <si>
    <t>Gia-rai</t>
  </si>
  <si>
    <t>Quận 11</t>
  </si>
  <si>
    <t>Tỉnh Yên Bái</t>
  </si>
  <si>
    <t>Ngái</t>
  </si>
  <si>
    <t>Quận 12</t>
  </si>
  <si>
    <t>Tỉnh Hòa Bình</t>
  </si>
  <si>
    <t>Ê-đê</t>
  </si>
  <si>
    <t>Quận Bình Thạnh</t>
  </si>
  <si>
    <t>Tỉnh Thái Nguyên</t>
  </si>
  <si>
    <t>Ba-na</t>
  </si>
  <si>
    <t>Quận Gò Vấp</t>
  </si>
  <si>
    <t>Tỉnh Lạng Sơn</t>
  </si>
  <si>
    <t>Xơ-đăng</t>
  </si>
  <si>
    <t>Quận Phú Nhuận</t>
  </si>
  <si>
    <t>Tỉnh Quảng Ninh</t>
  </si>
  <si>
    <t>Sán Chay</t>
  </si>
  <si>
    <t>Quận Tân Bình</t>
  </si>
  <si>
    <t>Tỉnh Bắc Giang</t>
  </si>
  <si>
    <t>Cơ-ho</t>
  </si>
  <si>
    <t>Quận Thủ Đức</t>
  </si>
  <si>
    <t>Tỉnh Phú Thọ</t>
  </si>
  <si>
    <t>Chăm</t>
  </si>
  <si>
    <t>Quận Tân Phú</t>
  </si>
  <si>
    <t>Tỉnh Vĩnh Phúc</t>
  </si>
  <si>
    <t>Sán Dìu</t>
  </si>
  <si>
    <t>Quận Bình Tân</t>
  </si>
  <si>
    <t>Tỉnh Bắc Ninh</t>
  </si>
  <si>
    <t>Hrê</t>
  </si>
  <si>
    <t>Huyện Cần Giờ</t>
  </si>
  <si>
    <t>Tỉnh Hải Dương</t>
  </si>
  <si>
    <t>Mnông</t>
  </si>
  <si>
    <t>Huyện Hóc Môn</t>
  </si>
  <si>
    <t>Thành Phố Hải Phòng</t>
  </si>
  <si>
    <t>Ra-glai</t>
  </si>
  <si>
    <t>Huyện Nhà Bè</t>
  </si>
  <si>
    <t>Tỉnh Hưng Yên</t>
  </si>
  <si>
    <t>Xtiêng</t>
  </si>
  <si>
    <t>Huyện Củ Chi</t>
  </si>
  <si>
    <t>Tỉnh Thái Bình</t>
  </si>
  <si>
    <t>Bru-Vân Kiều</t>
  </si>
  <si>
    <t>Huyện Bình Chánh</t>
  </si>
  <si>
    <t>Tỉnh Hà Nam</t>
  </si>
  <si>
    <t>Thổ</t>
  </si>
  <si>
    <t>Quận Ba Đình</t>
  </si>
  <si>
    <t>Tỉnh Nam Định</t>
  </si>
  <si>
    <t>Giáy</t>
  </si>
  <si>
    <t>Quận Hoàn Kiếm</t>
  </si>
  <si>
    <t>Tỉnh Ninh Bình</t>
  </si>
  <si>
    <t>Cơ-tu</t>
  </si>
  <si>
    <t>Quận Tây Hồ</t>
  </si>
  <si>
    <t>Tỉnh Thanh Hóa</t>
  </si>
  <si>
    <t>Gié-Triêng</t>
  </si>
  <si>
    <t>Quận Long Biên</t>
  </si>
  <si>
    <t>Tỉnh Nghệ An</t>
  </si>
  <si>
    <t>Mạ</t>
  </si>
  <si>
    <t>Quận Cầu Giấy</t>
  </si>
  <si>
    <t>Tỉnh Hà Tĩnh</t>
  </si>
  <si>
    <t>Khơ-mú</t>
  </si>
  <si>
    <t>Quận Đống Đa</t>
  </si>
  <si>
    <t>Tỉnh Quảng Bình</t>
  </si>
  <si>
    <t>Co</t>
  </si>
  <si>
    <t>Quận Hai Bà Trưng</t>
  </si>
  <si>
    <t>Tỉnh Quảng Trị</t>
  </si>
  <si>
    <t>Ta-ôi</t>
  </si>
  <si>
    <t>Quận Hoàng Mai</t>
  </si>
  <si>
    <t>Tỉnh Thừa Thiên Huế</t>
  </si>
  <si>
    <t>Chơ-ro</t>
  </si>
  <si>
    <t>Quận Thanh Xuân</t>
  </si>
  <si>
    <t>Thành Phố Đà Nẵng</t>
  </si>
  <si>
    <t>Kháng</t>
  </si>
  <si>
    <t>Quận Hà Đông</t>
  </si>
  <si>
    <t>Tỉnh Quảng Nam</t>
  </si>
  <si>
    <t>Xinh-mun</t>
  </si>
  <si>
    <t>Thị Xã Sơn Tây</t>
  </si>
  <si>
    <t>Tỉnh Quảng Ngãi</t>
  </si>
  <si>
    <t>Hà Nhì</t>
  </si>
  <si>
    <t>Huyện Sóc Sơn</t>
  </si>
  <si>
    <t>Tỉnh Bình Định</t>
  </si>
  <si>
    <t>Chu-ru</t>
  </si>
  <si>
    <t>Huyện Đông Anh</t>
  </si>
  <si>
    <t>Tỉnh Phú Yên</t>
  </si>
  <si>
    <t>Lào</t>
  </si>
  <si>
    <t>Huyện Gia Lâm</t>
  </si>
  <si>
    <t>Tỉnh Khánh Hòa</t>
  </si>
  <si>
    <t>La Chi</t>
  </si>
  <si>
    <t>Huyện Từ Liêm</t>
  </si>
  <si>
    <t>Tỉnh Ninh Thuận</t>
  </si>
  <si>
    <t>La Ha</t>
  </si>
  <si>
    <t>Huyện Thanh Trì</t>
  </si>
  <si>
    <t>Tỉnh Bình Thuận</t>
  </si>
  <si>
    <t>Phù Lá</t>
  </si>
  <si>
    <t>Huyện Mê Linh</t>
  </si>
  <si>
    <t>Tỉnh Kon Tum</t>
  </si>
  <si>
    <t>La Hủ</t>
  </si>
  <si>
    <t>Huyện Ba Vì</t>
  </si>
  <si>
    <t>Tỉnh Gia Lai</t>
  </si>
  <si>
    <t>Lự</t>
  </si>
  <si>
    <t>Huyện Phúc Thọ</t>
  </si>
  <si>
    <t>Tỉnh Đắk Lắk</t>
  </si>
  <si>
    <t>Lô Lô</t>
  </si>
  <si>
    <t>Huyện Đan Phượng</t>
  </si>
  <si>
    <t>Tỉnh Đắk Nông</t>
  </si>
  <si>
    <t>Chứt</t>
  </si>
  <si>
    <t>Huyện Hoài Đức</t>
  </si>
  <si>
    <t>Tỉnh Lâm Đồng</t>
  </si>
  <si>
    <t>Mảng</t>
  </si>
  <si>
    <t>Huyện Quốc Oai</t>
  </si>
  <si>
    <t>Tỉnh Bình Phước</t>
  </si>
  <si>
    <t>Pà Thẻn</t>
  </si>
  <si>
    <t>Huyện Thạch Thất</t>
  </si>
  <si>
    <t>Tỉnh Tây Ninh</t>
  </si>
  <si>
    <t>Cơ Lao</t>
  </si>
  <si>
    <t>Huyện Chương Mỹ</t>
  </si>
  <si>
    <t>Tỉnh Bình Dương</t>
  </si>
  <si>
    <t>Cống</t>
  </si>
  <si>
    <t>Huyện Thanh Oai</t>
  </si>
  <si>
    <t>Tỉnh Đồng Nai</t>
  </si>
  <si>
    <t>Bố Y</t>
  </si>
  <si>
    <t>Huyện Thường Tín</t>
  </si>
  <si>
    <t>Tỉnh Bà Rịa - Vũng Tàu</t>
  </si>
  <si>
    <t>Si La</t>
  </si>
  <si>
    <t>Huyện Phú Xuyên</t>
  </si>
  <si>
    <t>Tỉnh Long An</t>
  </si>
  <si>
    <t>Pu Péo</t>
  </si>
  <si>
    <t>Huyện Ứng Hòa</t>
  </si>
  <si>
    <t>Tỉnh Tiền Giang</t>
  </si>
  <si>
    <t>Brâu</t>
  </si>
  <si>
    <t>Huyện Mỹ Đức</t>
  </si>
  <si>
    <t>Tỉnh Bến Tre</t>
  </si>
  <si>
    <t>Ơ Đu</t>
  </si>
  <si>
    <t>Thị Xã Hà Giang</t>
  </si>
  <si>
    <t>Tỉnh Trà Vinh</t>
  </si>
  <si>
    <t>Rơ-măm</t>
  </si>
  <si>
    <t>Huyện Đồng Văn</t>
  </si>
  <si>
    <t>Tỉnh Vĩnh Long</t>
  </si>
  <si>
    <t>Người nước ngoài</t>
  </si>
  <si>
    <t>Huyện Mèo Vạc</t>
  </si>
  <si>
    <t>Tỉnh Đồng Tháp</t>
  </si>
  <si>
    <t>Huyện Yên Minh</t>
  </si>
  <si>
    <t>Tỉnh An Giang</t>
  </si>
  <si>
    <t>Huyện Quản Bạ</t>
  </si>
  <si>
    <t>Tỉnh Kiên Giang</t>
  </si>
  <si>
    <t>Huyện Vị Xuyên</t>
  </si>
  <si>
    <t>Thành Phố Cần Thơ</t>
  </si>
  <si>
    <t>Huyện Bắc Mê</t>
  </si>
  <si>
    <t>Tỉnh Hậu Giang</t>
  </si>
  <si>
    <t>Huyện Hoàng Su Phì</t>
  </si>
  <si>
    <t>Tỉnh Sóc Trăng</t>
  </si>
  <si>
    <t>Huyện Xín Mần</t>
  </si>
  <si>
    <t>Tỉnh Bạc Liêu</t>
  </si>
  <si>
    <t>Huyện Bắc Quang</t>
  </si>
  <si>
    <t>Tỉnh Cà Mau</t>
  </si>
  <si>
    <t>Huyện Quang Bình</t>
  </si>
  <si>
    <t>Thị Xã Cao Bằng</t>
  </si>
  <si>
    <t>Huyện Bảo Lâm</t>
  </si>
  <si>
    <t>Huyện Bảo Lạc</t>
  </si>
  <si>
    <t>Huyện Thông Nông</t>
  </si>
  <si>
    <t>Huyện Hà Quảng</t>
  </si>
  <si>
    <t>Huyện Trà Lĩnh</t>
  </si>
  <si>
    <t>Huyện Trùng Khánh</t>
  </si>
  <si>
    <t>Huyện Hạ Lang</t>
  </si>
  <si>
    <t>Huyện Quảng Uyên</t>
  </si>
  <si>
    <t>Huyện Phục Hoà</t>
  </si>
  <si>
    <t>Huyện Hoà An</t>
  </si>
  <si>
    <t>Huyện Nguyên Bình</t>
  </si>
  <si>
    <t>Huyện Thạch An</t>
  </si>
  <si>
    <t>Thị Xã Bắc Kạn</t>
  </si>
  <si>
    <t>Huyện Pác Nặm</t>
  </si>
  <si>
    <t>Huyện Ba Bể</t>
  </si>
  <si>
    <t>Huyện Ngân Sơn</t>
  </si>
  <si>
    <t>Huyện Bạch Thông</t>
  </si>
  <si>
    <t>Huyện Chợ Đồn</t>
  </si>
  <si>
    <t>Huyện Chợ Mới</t>
  </si>
  <si>
    <t>Huyện Na Rì</t>
  </si>
  <si>
    <t>Thị Xã Tuyên Quang</t>
  </si>
  <si>
    <t>Huyện Nà Hang</t>
  </si>
  <si>
    <t>Huyện Chiêm Hóa</t>
  </si>
  <si>
    <t>Huyện Hàm Yên</t>
  </si>
  <si>
    <t>Huyện Yên Sơn</t>
  </si>
  <si>
    <t>Huyện Sơn Dương</t>
  </si>
  <si>
    <t>Thành Phố Lào Cai</t>
  </si>
  <si>
    <t>Huyện Bát Xát</t>
  </si>
  <si>
    <t>Huyện Mường Khương</t>
  </si>
  <si>
    <t>Huyện Si Ma Cai</t>
  </si>
  <si>
    <t>Huyện Bắc Hà</t>
  </si>
  <si>
    <t>Huyện Bảo Thắng</t>
  </si>
  <si>
    <t>Huyện Bảo Yên</t>
  </si>
  <si>
    <t>Huyện Sa Pa</t>
  </si>
  <si>
    <t>Huyện Văn Bàn</t>
  </si>
  <si>
    <t>Thành Phố Điện Biên Phủ</t>
  </si>
  <si>
    <t>Thị Xã Mường Lay</t>
  </si>
  <si>
    <t>Huyện Mường Nhé</t>
  </si>
  <si>
    <t>Huyện Mường Chà</t>
  </si>
  <si>
    <t>Huyện Tủa Chùa</t>
  </si>
  <si>
    <t>Huyện Tuần Giáo</t>
  </si>
  <si>
    <t>Huyện Điện Biên</t>
  </si>
  <si>
    <t>Huyện Điện Biên Đông</t>
  </si>
  <si>
    <t>Huyện Mường Ảng</t>
  </si>
  <si>
    <t>Thị Xã Lai Châu</t>
  </si>
  <si>
    <t>Huyện Tam Đường</t>
  </si>
  <si>
    <t>Huyện Mường Tè</t>
  </si>
  <si>
    <t>Huyện Sìn Hồ</t>
  </si>
  <si>
    <t>Huyện Phong Thổ</t>
  </si>
  <si>
    <t>Huyện Than Uyên</t>
  </si>
  <si>
    <t>Huyện Tân Uyên</t>
  </si>
  <si>
    <t>Thành Phố Sơn La</t>
  </si>
  <si>
    <t>Huyện Quỳnh Nhai</t>
  </si>
  <si>
    <t>Huyện Thuận Châu</t>
  </si>
  <si>
    <t>Huyện Mường La</t>
  </si>
  <si>
    <t>Huyện Bắc Yên</t>
  </si>
  <si>
    <t>Huyện Phù Yên</t>
  </si>
  <si>
    <t>Huyện Mộc Châu</t>
  </si>
  <si>
    <t>Huyện Yên Châu</t>
  </si>
  <si>
    <t>Huyện Mai Sơn</t>
  </si>
  <si>
    <t>Huyện Sông Mã</t>
  </si>
  <si>
    <t>Huyện Sốp Cộp</t>
  </si>
  <si>
    <t>Thành Phố Yên Bái</t>
  </si>
  <si>
    <t>Thị Xã Nghĩa Lộ</t>
  </si>
  <si>
    <t>Huyện Lục Yên</t>
  </si>
  <si>
    <t>Huyện Văn Yên</t>
  </si>
  <si>
    <t>Huyện Mù Cang Chải</t>
  </si>
  <si>
    <t>Huyện Trấn Yên</t>
  </si>
  <si>
    <t>Huyện Trạm Tấu</t>
  </si>
  <si>
    <t>Huyện Văn Chấn</t>
  </si>
  <si>
    <t>Huyện Yên Bình</t>
  </si>
  <si>
    <t>Thành Phố Hòa Bình</t>
  </si>
  <si>
    <t>Huyện Đà Bắc</t>
  </si>
  <si>
    <t>Huyện Kỳ Sơn</t>
  </si>
  <si>
    <t>Huyện Lương Sơn</t>
  </si>
  <si>
    <t>Huyện Kim Bôi</t>
  </si>
  <si>
    <t>Huyện Cao Phong</t>
  </si>
  <si>
    <t>Huyện Tân Lạc</t>
  </si>
  <si>
    <t>Huyện Mai Châu</t>
  </si>
  <si>
    <t>Huyện Lạc Sơn</t>
  </si>
  <si>
    <t>Huyện Yên Thủy</t>
  </si>
  <si>
    <t>Huyện Lạc Thủy</t>
  </si>
  <si>
    <t>Thành Phố Thái Nguyên</t>
  </si>
  <si>
    <t>Thị Xã Sông Công</t>
  </si>
  <si>
    <t>Huyện Định Hóa</t>
  </si>
  <si>
    <t>Huyện Phú Lương</t>
  </si>
  <si>
    <t>Huyện Đồng Hỷ</t>
  </si>
  <si>
    <t>Huyện Võ Nhai</t>
  </si>
  <si>
    <t>Huyện Đại Từ</t>
  </si>
  <si>
    <t>Huyện Phổ Yên</t>
  </si>
  <si>
    <t>Huyện Phú Bình</t>
  </si>
  <si>
    <t>Thành Phố Lạng Sơn</t>
  </si>
  <si>
    <t>Huyện Tràng Định</t>
  </si>
  <si>
    <t>Huyện Bình Gia</t>
  </si>
  <si>
    <t>Huyện Văn Lãng</t>
  </si>
  <si>
    <t>Huyện Cao Lộc</t>
  </si>
  <si>
    <t>Huyện Văn Quan</t>
  </si>
  <si>
    <t>Huyện Bắc Sơn</t>
  </si>
  <si>
    <t>Huyện Hữu Lũng</t>
  </si>
  <si>
    <t>Huyện Chi Lăng</t>
  </si>
  <si>
    <t>Huyện Lộc Bình</t>
  </si>
  <si>
    <t>Huyện Đình Lập</t>
  </si>
  <si>
    <t>Thành Phố Hạ Long</t>
  </si>
  <si>
    <t>Thành Phố Móng Cái</t>
  </si>
  <si>
    <t>Thị Xã Cẩm Phả</t>
  </si>
  <si>
    <t>Thị Xã Uông Bí</t>
  </si>
  <si>
    <t>Huyện Bình Liêu</t>
  </si>
  <si>
    <t>Huyện Tiên Yên</t>
  </si>
  <si>
    <t>Huyện Đầm Hà</t>
  </si>
  <si>
    <t>Huyện Hải Hà</t>
  </si>
  <si>
    <t>Huyện Ba Chẽ</t>
  </si>
  <si>
    <t>Huyện Vân Đồn</t>
  </si>
  <si>
    <t>Huyện Hoành Bồ</t>
  </si>
  <si>
    <t>Huyện Đông Triều</t>
  </si>
  <si>
    <t>Huyện Yên Hưng</t>
  </si>
  <si>
    <t>Huyện Cô Tô</t>
  </si>
  <si>
    <t>Thành Phố Bắc Giang</t>
  </si>
  <si>
    <t>Huyện Yên Thế</t>
  </si>
  <si>
    <t>Huyện Tân Yên</t>
  </si>
  <si>
    <t>Huyện Lạng Giang</t>
  </si>
  <si>
    <t>Huyện Lục Nam</t>
  </si>
  <si>
    <t>Huyện Lục Ngạn</t>
  </si>
  <si>
    <t>Huyện Sơn Động</t>
  </si>
  <si>
    <t>Huyện Yên Dũng</t>
  </si>
  <si>
    <t>Huyện Việt Yên</t>
  </si>
  <si>
    <t>Huyện Hiệp Hòa</t>
  </si>
  <si>
    <t>Thành Phố Việt Trì</t>
  </si>
  <si>
    <t>Thị Xã Phú Thọ</t>
  </si>
  <si>
    <t>Huyện Đoan Hùng</t>
  </si>
  <si>
    <t>Huyện Hạ Hoà</t>
  </si>
  <si>
    <t>Huyện Thanh Ba</t>
  </si>
  <si>
    <t>Huyện Phù Ninh</t>
  </si>
  <si>
    <t>Huyện Yên Lập</t>
  </si>
  <si>
    <t>Huyện Cẩm Khê</t>
  </si>
  <si>
    <t>Huyện Tam Nông</t>
  </si>
  <si>
    <t>Huyện Lâm Thao</t>
  </si>
  <si>
    <t>Huyện Thanh Sơn</t>
  </si>
  <si>
    <t>Huyện Thanh Thuỷ</t>
  </si>
  <si>
    <t>Huyện Tân Sơn</t>
  </si>
  <si>
    <t>Thành Phố Vĩnh Yên</t>
  </si>
  <si>
    <t>Thị Xã Phúc Yên</t>
  </si>
  <si>
    <t>Huyện Lập Thạch</t>
  </si>
  <si>
    <t>Huyện Tam Dương</t>
  </si>
  <si>
    <t>Huyện Tam Đảo</t>
  </si>
  <si>
    <t>Huyện Bình Xuyên</t>
  </si>
  <si>
    <t>Huyện Yên Lạc</t>
  </si>
  <si>
    <t>Huyện Vĩnh Tường</t>
  </si>
  <si>
    <t>Huyện Sông Lô</t>
  </si>
  <si>
    <t>Thành Phố Bắc Ninh</t>
  </si>
  <si>
    <t>Thị Xã Từ Sơn</t>
  </si>
  <si>
    <t>Huyện Yên Phong</t>
  </si>
  <si>
    <t>Huyện Quế Võ</t>
  </si>
  <si>
    <t>Huyện Tiên Du</t>
  </si>
  <si>
    <t>Huyện Thuận Thành</t>
  </si>
  <si>
    <t>Huyện Gia Bình</t>
  </si>
  <si>
    <t>Huyện Lương Tài</t>
  </si>
  <si>
    <t>Thành Phố Hải Dương</t>
  </si>
  <si>
    <t>Huyện Chí Linh</t>
  </si>
  <si>
    <t>Huyện Nam Sách</t>
  </si>
  <si>
    <t>Huyện Kinh Môn</t>
  </si>
  <si>
    <t>Huyện Kim Thành</t>
  </si>
  <si>
    <t>Huyện Thanh Hà</t>
  </si>
  <si>
    <t>Huyện Cẩm Giàng</t>
  </si>
  <si>
    <t>Huyện Bình Giang</t>
  </si>
  <si>
    <t>Huyện Gia Lộc</t>
  </si>
  <si>
    <t>Huyện Tứ Kỳ</t>
  </si>
  <si>
    <t>Huyện Ninh Giang</t>
  </si>
  <si>
    <t>Huyện Thanh Miện</t>
  </si>
  <si>
    <t>Quận Hồng Bàng</t>
  </si>
  <si>
    <t>Quận Ngô Quyền</t>
  </si>
  <si>
    <t>Quận Lê Chân</t>
  </si>
  <si>
    <t>Quận Hải An</t>
  </si>
  <si>
    <t>Quận Kiến An</t>
  </si>
  <si>
    <t>Quận Đồ Sơn</t>
  </si>
  <si>
    <t>Quận Kinh Dương</t>
  </si>
  <si>
    <t>Huyện Thuỷ Nguyên</t>
  </si>
  <si>
    <t>Huyện An Dương</t>
  </si>
  <si>
    <t>Huyện An Lão</t>
  </si>
  <si>
    <t>Huyện Kiến Thụy</t>
  </si>
  <si>
    <t>Huyện Tiên Lãng</t>
  </si>
  <si>
    <t>Huyện Vĩnh Bảo</t>
  </si>
  <si>
    <t>Huyện Cát Hải</t>
  </si>
  <si>
    <t>Huyện Bạch Long Vĩ</t>
  </si>
  <si>
    <t>Thành Phố Hưng Yên</t>
  </si>
  <si>
    <t>Huyện Văn Lâm</t>
  </si>
  <si>
    <t>Huyện Văn Giang</t>
  </si>
  <si>
    <t>Huyện Yên Mỹ</t>
  </si>
  <si>
    <t>Huyện Mỹ Hào</t>
  </si>
  <si>
    <t>Huyện Ân Thi</t>
  </si>
  <si>
    <t>Huyện Khoái Châu</t>
  </si>
  <si>
    <t>Huyện Kim Động</t>
  </si>
  <si>
    <t>Huyện Tiên Lữ</t>
  </si>
  <si>
    <t>Huyện Phù Cừ</t>
  </si>
  <si>
    <t>Thành Phố Thái Bình</t>
  </si>
  <si>
    <t>Huyện Quỳnh Phụ</t>
  </si>
  <si>
    <t>Huyện Hưng Hà</t>
  </si>
  <si>
    <t>Huyện Đông Hưng</t>
  </si>
  <si>
    <t>Huyện Thái Thụy</t>
  </si>
  <si>
    <t>Huyện Tiền Hải</t>
  </si>
  <si>
    <t>Huyện Kiến Xương</t>
  </si>
  <si>
    <t>Huyện Vũ Thư</t>
  </si>
  <si>
    <t>Thành Phố Phủ Lý</t>
  </si>
  <si>
    <t>Huyện Duy Tiên</t>
  </si>
  <si>
    <t>Huyện Kim Bảng</t>
  </si>
  <si>
    <t>Huyện Thanh Liêm</t>
  </si>
  <si>
    <t>Huyện Bình Lục</t>
  </si>
  <si>
    <t>Huyện Lý Nhân</t>
  </si>
  <si>
    <t>Thành Phố Nam Định</t>
  </si>
  <si>
    <t>Huyện Mỹ Lộc</t>
  </si>
  <si>
    <t>Huyện Vụ Bản</t>
  </si>
  <si>
    <t>Huyện Ý Yên</t>
  </si>
  <si>
    <t>Huyện Nghĩa Hưng</t>
  </si>
  <si>
    <t>Huyện Nam Trực</t>
  </si>
  <si>
    <t>Huyện Trực Ninh</t>
  </si>
  <si>
    <t>Huyện Xuân Trường</t>
  </si>
  <si>
    <t>Huyện Giao Thủy</t>
  </si>
  <si>
    <t>Huyện Hải Hậu</t>
  </si>
  <si>
    <t>Thành Phố Ninh Bình</t>
  </si>
  <si>
    <t>Thị Xã Tam Điệp</t>
  </si>
  <si>
    <t>Huyện Nho Quan</t>
  </si>
  <si>
    <t>Huyện Gia Viễn</t>
  </si>
  <si>
    <t>Huyện Hoa Lư</t>
  </si>
  <si>
    <t>Huyện Yên Khánh</t>
  </si>
  <si>
    <t>Huyện Kim Sơn</t>
  </si>
  <si>
    <t>Huyện Yên Mô</t>
  </si>
  <si>
    <t>Thành Phố Thanh Hóa</t>
  </si>
  <si>
    <t>Thị Xã Bỉm Sơn</t>
  </si>
  <si>
    <t>Thị Xã Sầm Sơn</t>
  </si>
  <si>
    <t>Huyện Mường Lát</t>
  </si>
  <si>
    <t>Huyện Quan Hóa</t>
  </si>
  <si>
    <t>Huyện Bá Thước</t>
  </si>
  <si>
    <t>Huyện Quan Sơn</t>
  </si>
  <si>
    <t>Huyện Lang Chánh</t>
  </si>
  <si>
    <t>Huyện Ngọc Lặc</t>
  </si>
  <si>
    <t>Huyện Cẩm Thủy</t>
  </si>
  <si>
    <t>Huyện Thạch Thành</t>
  </si>
  <si>
    <t>Huyện Hà Trung</t>
  </si>
  <si>
    <t>Huyện Vĩnh Lộc</t>
  </si>
  <si>
    <t>Huyện Yên Định</t>
  </si>
  <si>
    <t>Huyện Thọ Xuân</t>
  </si>
  <si>
    <t>Huyện Thường Xuân</t>
  </si>
  <si>
    <t>Huyện Triệu Sơn</t>
  </si>
  <si>
    <t>Huyện Thiệu Hoá</t>
  </si>
  <si>
    <t>Huyện Hoằng Hóa</t>
  </si>
  <si>
    <t>Huyện Hậu Lộc</t>
  </si>
  <si>
    <t>Huyện Nga Sơn</t>
  </si>
  <si>
    <t>Huyện Như Xuân</t>
  </si>
  <si>
    <t>Huyện Như Thanh</t>
  </si>
  <si>
    <t>Huyện Nông Cống</t>
  </si>
  <si>
    <t>Huyện Đông Sơn</t>
  </si>
  <si>
    <t>Huyện Quảng Xương</t>
  </si>
  <si>
    <t>Huyện Tĩnh Gia</t>
  </si>
  <si>
    <t>Thành Phố Vinh</t>
  </si>
  <si>
    <t>Thị Xã Cửa Lò</t>
  </si>
  <si>
    <t>Thị Xã Thái Hoà</t>
  </si>
  <si>
    <t>Huyện Quế Phong</t>
  </si>
  <si>
    <t>Huyện Quỳ Châu</t>
  </si>
  <si>
    <t>Huyện Tương Dương</t>
  </si>
  <si>
    <t>Huyện Nghĩa Đàn</t>
  </si>
  <si>
    <t>Huyện Quỳ Hợp</t>
  </si>
  <si>
    <t>Huyện Quỳnh Lưu</t>
  </si>
  <si>
    <t>Huyện Con Cuông</t>
  </si>
  <si>
    <t>Huyện Tân Kỳ</t>
  </si>
  <si>
    <t>Huyện Anh Sơn</t>
  </si>
  <si>
    <t>Huyện Diễn Châu</t>
  </si>
  <si>
    <t>Huyện Yên Thành</t>
  </si>
  <si>
    <t>Huyện Đô Lương</t>
  </si>
  <si>
    <t>Huyện Thanh Chương</t>
  </si>
  <si>
    <t>Huyện Nghi Lộc</t>
  </si>
  <si>
    <t>Huyện Nam Đàn</t>
  </si>
  <si>
    <t>Huyện Hưng Nguyên</t>
  </si>
  <si>
    <t>Thành Phố Hà Tĩnh</t>
  </si>
  <si>
    <t>Thị Xã Hồng Lĩnh</t>
  </si>
  <si>
    <t>Huyện Hương Sơn</t>
  </si>
  <si>
    <t>Huyện Đức Thọ</t>
  </si>
  <si>
    <t>Huyện Vũ Quang</t>
  </si>
  <si>
    <t>Huyện Nghi Xuân</t>
  </si>
  <si>
    <t>Huyện Can Lộc</t>
  </si>
  <si>
    <t>Huyện Hương Khê</t>
  </si>
  <si>
    <t>Huyện Thạch Hà</t>
  </si>
  <si>
    <t>Huyện Cẩm Xuyên</t>
  </si>
  <si>
    <t>Huyện Kỳ Anh</t>
  </si>
  <si>
    <t>Huyện Lộc Hà</t>
  </si>
  <si>
    <t>Thành Phố Đồng Hới</t>
  </si>
  <si>
    <t>Huyện Minh Hóa</t>
  </si>
  <si>
    <t>Huyện Tuyên Hóa</t>
  </si>
  <si>
    <t>Huyện Quảng Trạch</t>
  </si>
  <si>
    <t>Huyện Bố Trạch</t>
  </si>
  <si>
    <t>Huyện Quảng Ninh</t>
  </si>
  <si>
    <t>Huyện Lệ Thủy</t>
  </si>
  <si>
    <t>Thành Phố Đông Hà</t>
  </si>
  <si>
    <t>Thị Xã Quảng Trị</t>
  </si>
  <si>
    <t>Huyện Vĩnh Linh</t>
  </si>
  <si>
    <t>Huyện Hướng Hóa</t>
  </si>
  <si>
    <t>Huyện Gio Linh</t>
  </si>
  <si>
    <t>Huyện Đa Krông</t>
  </si>
  <si>
    <t>Huyện Cam Lộ</t>
  </si>
  <si>
    <t>Huyện Triệu Phong</t>
  </si>
  <si>
    <t>Huyện Hải Lăng</t>
  </si>
  <si>
    <t>Huyện Cồn Cỏ</t>
  </si>
  <si>
    <t>Thành Phố Huế</t>
  </si>
  <si>
    <t>Huyện Phong Điền</t>
  </si>
  <si>
    <t>Huyện Quảng Điền</t>
  </si>
  <si>
    <t>Huyện Phú Vang</t>
  </si>
  <si>
    <t>Huyện Hương Thủy</t>
  </si>
  <si>
    <t>Huyện Hương Trà</t>
  </si>
  <si>
    <t>Huyện A Lưới</t>
  </si>
  <si>
    <t>Huyện Phú Lộc</t>
  </si>
  <si>
    <t>Huyện Nam Đông</t>
  </si>
  <si>
    <t>Quận Liên Chiểu</t>
  </si>
  <si>
    <t>Quận Thanh Khê</t>
  </si>
  <si>
    <t>Quận Hải Châu</t>
  </si>
  <si>
    <t>Quận Sơn Trà</t>
  </si>
  <si>
    <t>Quận Ngũ Hành Sơn</t>
  </si>
  <si>
    <t>Quận Cẩm Lệ</t>
  </si>
  <si>
    <t>Huyện Hoà Vang</t>
  </si>
  <si>
    <t>Huyện Hoàng Sa</t>
  </si>
  <si>
    <t>Thành Phố Tam Kỳ</t>
  </si>
  <si>
    <t>Thành Phố Hội An</t>
  </si>
  <si>
    <t>Huyện Tây Giang</t>
  </si>
  <si>
    <t>Huyện Đông Giang</t>
  </si>
  <si>
    <t>Huyện Đại Lộc</t>
  </si>
  <si>
    <t>Huyện Điện Bàn</t>
  </si>
  <si>
    <t>Huyện Duy Xuyên</t>
  </si>
  <si>
    <t>Huyện Quế Sơn</t>
  </si>
  <si>
    <t>Huyện Nam Giang</t>
  </si>
  <si>
    <t>Huyện Phước Sơn</t>
  </si>
  <si>
    <t>Huyện Hiệp Đức</t>
  </si>
  <si>
    <t>Huyện Thăng Bình</t>
  </si>
  <si>
    <t>Huyện Tiên Phước</t>
  </si>
  <si>
    <t>Huyện Bắc Trà My</t>
  </si>
  <si>
    <t>Huyện Nam Trà My</t>
  </si>
  <si>
    <t>Huyện Núi Thành</t>
  </si>
  <si>
    <t>Huyện Phú Ninh</t>
  </si>
  <si>
    <t>Huyện Nông Sơn</t>
  </si>
  <si>
    <t>Thành Phố Quảng Ngãi</t>
  </si>
  <si>
    <t>Huyện Bình Sơn</t>
  </si>
  <si>
    <t>Huyện Trà Bồng</t>
  </si>
  <si>
    <t>Huyện Tây Trà</t>
  </si>
  <si>
    <t>Huyện Sơn Tịnh</t>
  </si>
  <si>
    <t>Huyện Tư Nghĩa</t>
  </si>
  <si>
    <t>Huyện Sơn Hà</t>
  </si>
  <si>
    <t>Huyện Sơn Tây</t>
  </si>
  <si>
    <t>Huyện Minh Long</t>
  </si>
  <si>
    <t>Huyện Nghĩa Hành</t>
  </si>
  <si>
    <t>Huyện Mộ Đức</t>
  </si>
  <si>
    <t>Huyện Đức Phổ</t>
  </si>
  <si>
    <t>Huyện Ba Tơ</t>
  </si>
  <si>
    <t>Huyện Lý Sơn</t>
  </si>
  <si>
    <t>Thành Phố Qui Nhơn</t>
  </si>
  <si>
    <t>Huyện Hoài Nhơn</t>
  </si>
  <si>
    <t>Huyện Hoài Ân</t>
  </si>
  <si>
    <t>Huyện Phù Mỹ</t>
  </si>
  <si>
    <t>Huyện Vĩnh Thạnh</t>
  </si>
  <si>
    <t>Huyện Tây Sơn</t>
  </si>
  <si>
    <t>Huyện Phù Cát</t>
  </si>
  <si>
    <t>Huyện An Nhơn</t>
  </si>
  <si>
    <t>Huyện Tuy Phước</t>
  </si>
  <si>
    <t>Huyện Vân Canh</t>
  </si>
  <si>
    <t>Thành Phố Tuy Hòa</t>
  </si>
  <si>
    <t>Thị Xã Sông Cầu</t>
  </si>
  <si>
    <t>Huyện Đồng Xuân</t>
  </si>
  <si>
    <t>Huyện Tuy An</t>
  </si>
  <si>
    <t>Huyện Sơn Hòa</t>
  </si>
  <si>
    <t>Huyện Sông Hinh</t>
  </si>
  <si>
    <t>Huyện Tây Hoà</t>
  </si>
  <si>
    <t>Huyện Phú Hoà</t>
  </si>
  <si>
    <t>Huyện Đông Hoà</t>
  </si>
  <si>
    <t>Thành Phố Nha Trang</t>
  </si>
  <si>
    <t>Thị Xã Cam Ranh</t>
  </si>
  <si>
    <t>Huyện Cam Lâm</t>
  </si>
  <si>
    <t>Huyện Vạn Ninh</t>
  </si>
  <si>
    <t>Huyện Ninh Hòa</t>
  </si>
  <si>
    <t>Huyện Khánh Vĩnh</t>
  </si>
  <si>
    <t>Huyện Diên Khánh</t>
  </si>
  <si>
    <t>Huyện Khánh Sơn</t>
  </si>
  <si>
    <t>Huyện Trường Sa</t>
  </si>
  <si>
    <t>Thành Phố Phan Rang-Tháp Chàm</t>
  </si>
  <si>
    <t>Huyện Bác Ái</t>
  </si>
  <si>
    <t>Huyện Ninh Sơn</t>
  </si>
  <si>
    <t>Huyện Ninh Hải</t>
  </si>
  <si>
    <t>Huyện Ninh Phước</t>
  </si>
  <si>
    <t>Huyện Thuận Bắc</t>
  </si>
  <si>
    <t>Huyện Thuận Nam</t>
  </si>
  <si>
    <t>Thành Phố Phan Thiết</t>
  </si>
  <si>
    <t>Thị Xã La Gi</t>
  </si>
  <si>
    <t>Huyện Tuy Phong</t>
  </si>
  <si>
    <t>Huyện Bắc Bình</t>
  </si>
  <si>
    <t>Huyện Hàm Thuận Bắc</t>
  </si>
  <si>
    <t>Huyện Hàm Thuận Nam</t>
  </si>
  <si>
    <t>Huyện Tánh Linh</t>
  </si>
  <si>
    <t>Huyện Đức Linh</t>
  </si>
  <si>
    <t>Huyện Hàm Tân</t>
  </si>
  <si>
    <t>Huyện Phú Quí</t>
  </si>
  <si>
    <t>Thành Phố Kon Tum</t>
  </si>
  <si>
    <t>Huyện Đắk Glei</t>
  </si>
  <si>
    <t>Huyện Ngọc Hồi</t>
  </si>
  <si>
    <t>Huyện Đắk Tô</t>
  </si>
  <si>
    <t>Huyện Kon Plông</t>
  </si>
  <si>
    <t>Huyện Kon Rẫy</t>
  </si>
  <si>
    <t>Huyện Đắk Hà</t>
  </si>
  <si>
    <t>Huyện Sa Thầy</t>
  </si>
  <si>
    <t>Huyện Tu Mơ Rông</t>
  </si>
  <si>
    <t>Thành Phố Pleiku</t>
  </si>
  <si>
    <t>Thị Xã An Khê</t>
  </si>
  <si>
    <t>Thị Xã Ayun Pa</t>
  </si>
  <si>
    <t>Huyện Kbang</t>
  </si>
  <si>
    <t>Huyện Đăk Đoa</t>
  </si>
  <si>
    <t>Huyện Chư Păh</t>
  </si>
  <si>
    <t>Huyện Ia Grai</t>
  </si>
  <si>
    <t>Huyện Mang Yang</t>
  </si>
  <si>
    <t>Huyện Kông Chro</t>
  </si>
  <si>
    <t>Huyện Đức Cơ</t>
  </si>
  <si>
    <t>Huyện Chư Prông</t>
  </si>
  <si>
    <t>Huyện Chư Sê</t>
  </si>
  <si>
    <t>Huyện Đăk Pơ</t>
  </si>
  <si>
    <t>Huyện Ia Pa</t>
  </si>
  <si>
    <t>Huyện Krông Pa</t>
  </si>
  <si>
    <t>Huyện Phú Thiện</t>
  </si>
  <si>
    <t>Huyện Chư Pưh</t>
  </si>
  <si>
    <t>Thành Phố Buôn Ma Thuột</t>
  </si>
  <si>
    <t>Thị Xã Buôn Hồ</t>
  </si>
  <si>
    <t>Huyện Ea H'leo</t>
  </si>
  <si>
    <t>Huyện Ea Súp</t>
  </si>
  <si>
    <t>Huyện Buôn Đôn</t>
  </si>
  <si>
    <t>Huyện Cư M'gar</t>
  </si>
  <si>
    <t>Huyện Krông Búk</t>
  </si>
  <si>
    <t>Huyện Krông Năng</t>
  </si>
  <si>
    <t>Huyện Ea Kar</t>
  </si>
  <si>
    <t>Huyện M'đrắk</t>
  </si>
  <si>
    <t>Huyện Krông Bông</t>
  </si>
  <si>
    <t>Huyện Krông Pắc</t>
  </si>
  <si>
    <t>Huyện Krông A Na</t>
  </si>
  <si>
    <t>Huyện Lắk</t>
  </si>
  <si>
    <t>Huyện Cư Kuin</t>
  </si>
  <si>
    <t>Thị Xã Gia Nghĩa</t>
  </si>
  <si>
    <t>Huyện Đắk Glong</t>
  </si>
  <si>
    <t>Huyện Cư Jút</t>
  </si>
  <si>
    <t>Huyện Đắk Mil</t>
  </si>
  <si>
    <t>Huyện Krông Nô</t>
  </si>
  <si>
    <t>Huyện Đắk Song</t>
  </si>
  <si>
    <t>Huyện Đắk R'lấp</t>
  </si>
  <si>
    <t>Huyện Tuy Đức</t>
  </si>
  <si>
    <t>Thành Phố Đà Lạt</t>
  </si>
  <si>
    <t>Thị Xã Bảo Lộc</t>
  </si>
  <si>
    <t>Huyện Đam Rông</t>
  </si>
  <si>
    <t>Huyện Lạc Dương</t>
  </si>
  <si>
    <t>Huyện Lâm Hà</t>
  </si>
  <si>
    <t>Huyện Đơn Dương</t>
  </si>
  <si>
    <t>Huyện Đức Trọng</t>
  </si>
  <si>
    <t>Huyện Di Linh</t>
  </si>
  <si>
    <t>Huyện Đạ Huoai</t>
  </si>
  <si>
    <t>Huyện Đạ Tẻh</t>
  </si>
  <si>
    <t>Huyện Cát Tiên</t>
  </si>
  <si>
    <t>Thị Xã Đồng Xoài</t>
  </si>
  <si>
    <t>Thị Xã Phước Long</t>
  </si>
  <si>
    <t>Thị Xã Bình Long</t>
  </si>
  <si>
    <t>Huyện Bù Gia Mập</t>
  </si>
  <si>
    <t>Huyện Lộc Ninh</t>
  </si>
  <si>
    <t>Huyện Bù Đốp</t>
  </si>
  <si>
    <t>Huyện Hớn Quản</t>
  </si>
  <si>
    <t>Huyện Đồng Phù</t>
  </si>
  <si>
    <t>Huyện Bù Đăng</t>
  </si>
  <si>
    <t>Huyện Chơn Thành</t>
  </si>
  <si>
    <t>Thị Xã Tây Ninh</t>
  </si>
  <si>
    <t>Huyện Tân Biên</t>
  </si>
  <si>
    <t>Huyện Tân Châu</t>
  </si>
  <si>
    <t>Huyện Dương Minh Châu</t>
  </si>
  <si>
    <t>Huyện Châu Thành</t>
  </si>
  <si>
    <t>Huyện Hòa Thành</t>
  </si>
  <si>
    <t>Huyện Gò Dầu</t>
  </si>
  <si>
    <t>Huyện Bến Cầu</t>
  </si>
  <si>
    <t>Huyện Trảng Bàng</t>
  </si>
  <si>
    <t>Thị Xã Thủ Dầu Một</t>
  </si>
  <si>
    <t>Huyện Dầu Tiếng</t>
  </si>
  <si>
    <t>Huyện Bến Cát</t>
  </si>
  <si>
    <t>Huyện Phú Giáo</t>
  </si>
  <si>
    <t>Huyện Dĩ An</t>
  </si>
  <si>
    <t>Huyện Thuận An</t>
  </si>
  <si>
    <t>Thành Phố Biên Hòa</t>
  </si>
  <si>
    <t>Thị Xã Long Khánh</t>
  </si>
  <si>
    <t>Huyện Tân Phú</t>
  </si>
  <si>
    <t>Huyện Vĩnh Cửu</t>
  </si>
  <si>
    <t>Huyện Định Quán</t>
  </si>
  <si>
    <t>Huyện Trảng Bom</t>
  </si>
  <si>
    <t>Huyện Thống Nhất</t>
  </si>
  <si>
    <t>Huyện Cẩm Mỹ</t>
  </si>
  <si>
    <t>Huyện Long Thành</t>
  </si>
  <si>
    <t>Huyện Xuân Lộc</t>
  </si>
  <si>
    <t>Huyện Nhơn Trạch</t>
  </si>
  <si>
    <t>Thành Phố Vũng Tàu</t>
  </si>
  <si>
    <t>Thị Xã Bà Rịa</t>
  </si>
  <si>
    <t>Huyện Châu Đức</t>
  </si>
  <si>
    <t>Huyện Xuyên Mộc</t>
  </si>
  <si>
    <t>Huyện Long Điền</t>
  </si>
  <si>
    <t>Huyện Đất Đỏ</t>
  </si>
  <si>
    <t>Huyện Tân Thành</t>
  </si>
  <si>
    <t>Huyện Côn Đảo</t>
  </si>
  <si>
    <t>Thành Phố Tân An</t>
  </si>
  <si>
    <t>Huyện Tân Hưng</t>
  </si>
  <si>
    <t>Huyện Vĩnh Hưng</t>
  </si>
  <si>
    <t>Huyện Mộc Hóa</t>
  </si>
  <si>
    <t>Huyện Tân Thạnh</t>
  </si>
  <si>
    <t>Huyện Thạnh Hóa</t>
  </si>
  <si>
    <t>Huyện Đức Huệ</t>
  </si>
  <si>
    <t>Huyện Đức Hòa</t>
  </si>
  <si>
    <t>Huyện Bến Lức</t>
  </si>
  <si>
    <t>Huyện Thủ Thừa</t>
  </si>
  <si>
    <t>Huyện Tân Trụ</t>
  </si>
  <si>
    <t>Huyện Cần Đước</t>
  </si>
  <si>
    <t>Huyện Cần Giuộc</t>
  </si>
  <si>
    <t>Thành Phố Mỹ Tho</t>
  </si>
  <si>
    <t>Thị Xã Gò Công</t>
  </si>
  <si>
    <t>Huyện Tân Phước</t>
  </si>
  <si>
    <t>Huyện Cái Bè</t>
  </si>
  <si>
    <t>Huyện Cai Lậy</t>
  </si>
  <si>
    <t>Huyện Chợ Gạo</t>
  </si>
  <si>
    <t>Huyện Gò Công Tây</t>
  </si>
  <si>
    <t>Huyện Gò Công Đông</t>
  </si>
  <si>
    <t>Huyện Tân Phú Đông</t>
  </si>
  <si>
    <t>Thành Phố Bến Tre</t>
  </si>
  <si>
    <t>Huyện Chợ Lách</t>
  </si>
  <si>
    <t>Huyện Mỏ Cày Nam</t>
  </si>
  <si>
    <t>Huyện Giồng Trôm</t>
  </si>
  <si>
    <t>Huyện Bình Đại</t>
  </si>
  <si>
    <t>Huyện Ba Tri</t>
  </si>
  <si>
    <t>Huyện Thạnh Phú</t>
  </si>
  <si>
    <t>Huyện Mỏ Cày Bắc</t>
  </si>
  <si>
    <t>Thị Xã Trà Vinh</t>
  </si>
  <si>
    <t>Huyện Càng Long</t>
  </si>
  <si>
    <t>Huyện Cầu Kè</t>
  </si>
  <si>
    <t>Huyện Tiểu Cần</t>
  </si>
  <si>
    <t>Huyện Cầu Ngang</t>
  </si>
  <si>
    <t>Huyện Trà Cú</t>
  </si>
  <si>
    <t>Huyện Duyên Hải</t>
  </si>
  <si>
    <t>Thành Phố Vĩnh Long</t>
  </si>
  <si>
    <t>Huyện Long Hồ</t>
  </si>
  <si>
    <t>Huyện Mang Thít</t>
  </si>
  <si>
    <t>Huyện Vũng Liêm</t>
  </si>
  <si>
    <t>Huyện Tam Bình</t>
  </si>
  <si>
    <t>Huyện Bình Minh</t>
  </si>
  <si>
    <t>Huyện Trà Ôn</t>
  </si>
  <si>
    <t>Huyện Bình Tân</t>
  </si>
  <si>
    <t>Thành Phố Cao Lãnh</t>
  </si>
  <si>
    <t>Thị Xã Sa Đéc</t>
  </si>
  <si>
    <t>Thị Xã Hồng Ngự</t>
  </si>
  <si>
    <t>Huyện Tân Hồng</t>
  </si>
  <si>
    <t>Huyện Hồng Ngự</t>
  </si>
  <si>
    <t>Huyện Tháp Mười</t>
  </si>
  <si>
    <t>Huyện Cao Lãnh</t>
  </si>
  <si>
    <t>Huyện Thanh Bình</t>
  </si>
  <si>
    <t>Huyện Lấp Vò</t>
  </si>
  <si>
    <t>Huyện Lai Vung</t>
  </si>
  <si>
    <t>Thành Phố Long Xuyên</t>
  </si>
  <si>
    <t>Thị Xã Châu Đốc</t>
  </si>
  <si>
    <t>Huyện An Phú</t>
  </si>
  <si>
    <t>Thị Xã Tân Châu</t>
  </si>
  <si>
    <t>Huyện Phú Tân</t>
  </si>
  <si>
    <t>Huyện Châu Phú</t>
  </si>
  <si>
    <t>Huyện Tịnh Biên</t>
  </si>
  <si>
    <t>Huyện Tri Tôn</t>
  </si>
  <si>
    <t>Huyện Thoại Sơn</t>
  </si>
  <si>
    <t>Thành Phố Rạch Giá</t>
  </si>
  <si>
    <t>Thị Xã Hà Tiên</t>
  </si>
  <si>
    <t>Huyện Kiên Lương</t>
  </si>
  <si>
    <t>Huyện Hòn Đất</t>
  </si>
  <si>
    <t>Huyện Tân Hiệp</t>
  </si>
  <si>
    <t>Huyện Giồng Giềng</t>
  </si>
  <si>
    <t>Huyện Gò Quao</t>
  </si>
  <si>
    <t>Huyện An Biên</t>
  </si>
  <si>
    <t>Huyện An Minh</t>
  </si>
  <si>
    <t>Huyện Vĩnh Thuận</t>
  </si>
  <si>
    <t>Huyện Phú Quốc</t>
  </si>
  <si>
    <t>Huyện Kiên Hải</t>
  </si>
  <si>
    <t>Huyện U Minh Thượng</t>
  </si>
  <si>
    <t>Huyện Giang Thành</t>
  </si>
  <si>
    <t>Quận Ninh Kiều</t>
  </si>
  <si>
    <t>Quận Ô Môn</t>
  </si>
  <si>
    <t>Quận Bình Thuỷ</t>
  </si>
  <si>
    <t>Quận Cái Răng</t>
  </si>
  <si>
    <t>Quận Thốt Nốt</t>
  </si>
  <si>
    <t>Huyện Cờ Đỏ</t>
  </si>
  <si>
    <t>Huyện Thới Lai</t>
  </si>
  <si>
    <t>Thị Xã Vị Thanh</t>
  </si>
  <si>
    <t>Thị Xã Ngã Bảy</t>
  </si>
  <si>
    <t>Huyện Châu Thành A</t>
  </si>
  <si>
    <t>Huyện Phụng Hiệp</t>
  </si>
  <si>
    <t>Huyện Vị Thuỷ</t>
  </si>
  <si>
    <t>Huyện Long Mỹ</t>
  </si>
  <si>
    <t>Thành Phố Sóc Trăng</t>
  </si>
  <si>
    <t>Huyện Kế Sách</t>
  </si>
  <si>
    <t>Huyện Mỹ Tú</t>
  </si>
  <si>
    <t>Huyện Cù Lao Dung</t>
  </si>
  <si>
    <t>Huyện Long Phú</t>
  </si>
  <si>
    <t>Huyện Mỹ Xuyên</t>
  </si>
  <si>
    <t>Huyện Ngã Năm</t>
  </si>
  <si>
    <t>Huyện Thạnh Trị</t>
  </si>
  <si>
    <t>Huyện Vĩnh Châu</t>
  </si>
  <si>
    <t>Huyện Trần Đề</t>
  </si>
  <si>
    <t>Thị Xã Bạc Liêu</t>
  </si>
  <si>
    <t>Huyện Hồng Dân</t>
  </si>
  <si>
    <t>Huyện Phước Long</t>
  </si>
  <si>
    <t>Huyện Vĩnh Lợi</t>
  </si>
  <si>
    <t>Huyện Giá Rai</t>
  </si>
  <si>
    <t>Huyện Đông Hải</t>
  </si>
  <si>
    <t>Huyện Hoà Bình</t>
  </si>
  <si>
    <t>Thành Phố Cà Mau</t>
  </si>
  <si>
    <t>Huyện U Minh</t>
  </si>
  <si>
    <t>Huyện Thới Bình</t>
  </si>
  <si>
    <t>Huyện Trần Văn Thời</t>
  </si>
  <si>
    <t>Huyện Cái Nước</t>
  </si>
  <si>
    <t>Huyện Đầm Dơi</t>
  </si>
  <si>
    <t>Huyện Năm Căn</t>
  </si>
  <si>
    <t>Huyện Ngọc Hiển</t>
  </si>
  <si>
    <t>SỞ GIÁO DỤC &amp; ĐÀO TẠO TP. HỒ CHÍ MINH</t>
  </si>
  <si>
    <t>DANH SÁCH THÍ SINH KIỂM TRA TIN HỌC</t>
  </si>
  <si>
    <t>TRUNG TÂM:</t>
  </si>
  <si>
    <t>THPT THỦ ĐỨC</t>
  </si>
  <si>
    <t>NGÀY THI:</t>
  </si>
  <si>
    <t/>
  </si>
  <si>
    <t>Khu vực bắt buộc nhập</t>
  </si>
  <si>
    <t>Nhập chữ IN HOA và font Unicode</t>
  </si>
  <si>
    <t>Điểm bảo lưu</t>
  </si>
  <si>
    <t>Thông tin kỳ thi cũ</t>
  </si>
  <si>
    <t>Dịch vụ</t>
  </si>
  <si>
    <t>Mã nơi sinh</t>
  </si>
  <si>
    <t>Chữ ký thí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</si>
</sst>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scheme val="minor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rgb="FFFFFFFF"/>
      <name val="Times New Roman"/>
      <family val="1"/>
    </font>
    <font>
      <b/>
      <sz val="14"/>
      <color theme="0"/>
      <name val="Calibri"/>
      <family val="2"/>
    </font>
    <font>
      <sz val="11"/>
      <name val="Calibri"/>
      <family val="2"/>
    </font>
    <font>
      <b/>
      <sz val="11"/>
      <color theme="0"/>
      <name val="Arial"/>
      <family val="2"/>
      <scheme val="minor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FFFF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 applyNumberFormat="1" applyFont="1" applyFill="1" applyBorder="1"/>
    <xf numFmtId="0" fontId="7" fillId="3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wrapText="1"/>
    </xf>
    <xf numFmtId="0" fontId="0" fillId="3" borderId="0" xfId="0" applyNumberFormat="1" applyFont="1" applyFill="1" applyBorder="1"/>
    <xf numFmtId="49" fontId="0" fillId="0" borderId="0" xfId="0" applyNumberFormat="1" applyFont="1" applyFill="1" applyBorder="1"/>
    <xf numFmtId="49" fontId="0" fillId="4" borderId="3" xfId="0" applyNumberFormat="1" applyFont="1" applyFill="1" applyBorder="1"/>
    <xf numFmtId="49" fontId="0" fillId="0" borderId="3" xfId="0" applyNumberFormat="1" applyFont="1" applyFill="1" applyBorder="1"/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Protection="1">
      <protection hidden="1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NumberFormat="1" applyFont="1" applyFill="1" applyBorder="1" applyAlignment="1" applyProtection="1">
      <alignment vertical="center"/>
      <protection hidden="1"/>
    </xf>
    <xf numFmtId="0" fontId="3" fillId="0" borderId="2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9" fillId="3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horizontal="left" vertical="center"/>
      <protection hidden="1"/>
    </xf>
    <xf numFmtId="0" fontId="6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Font="1" applyFill="1" applyBorder="1"/>
    <xf numFmtId="0" fontId="3" fillId="5" borderId="2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/>
    <xf numFmtId="49" fontId="1" fillId="0" borderId="0" xfId="0" applyNumberFormat="1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vertical="center"/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Protection="1"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hidden="1"/>
    </xf>
    <xf numFmtId="0" fontId="3" fillId="5" borderId="2" xfId="0" applyNumberFormat="1" applyFont="1" applyFill="1" applyBorder="1" applyAlignment="1" applyProtection="1">
      <alignment vertical="center"/>
      <protection hidden="1"/>
    </xf>
    <xf numFmtId="0" fontId="3" fillId="0" borderId="2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6" borderId="4" xfId="0" applyNumberFormat="1" applyFont="1" applyFill="1" applyBorder="1" applyAlignment="1" applyProtection="1">
      <alignment horizontal="center" vertical="center"/>
      <protection locked="0"/>
    </xf>
    <xf numFmtId="0" fontId="6" fillId="6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000"/>
  <sheetViews>
    <sheetView tabSelected="1" workbookViewId="0">
      <selection activeCell="C13" sqref="C13"/>
    </sheetView>
  </sheetViews>
  <sheetFormatPr defaultColWidth="9.125" defaultRowHeight="14.25" x14ac:dyDescent="0.2"/>
  <cols>
    <col min="1" max="1" width="9.125" style="25" customWidth="1"/>
    <col min="2" max="2" width="15.375" style="11" customWidth="1"/>
    <col min="3" max="3" width="16.25" style="11" customWidth="1"/>
    <col min="4" max="4" width="18.375" style="11" customWidth="1"/>
    <col min="5" max="5" width="16.125" style="11" customWidth="1"/>
    <col min="6" max="6" width="19.125" style="11" customWidth="1"/>
    <col min="7" max="7" width="19.125" style="25" customWidth="1"/>
    <col min="8" max="8" width="25.875" style="11" customWidth="1"/>
    <col min="9" max="9" width="25.875" style="40" customWidth="1"/>
    <col min="10" max="10" width="14.875" style="11" customWidth="1"/>
    <col min="11" max="13" width="17.375" style="11" customWidth="1"/>
    <col min="14" max="14" width="19.25" style="11" bestFit="1" customWidth="1"/>
    <col min="15" max="20" width="17.375" style="11" customWidth="1"/>
    <col min="21" max="21" width="20.75" style="11" customWidth="1"/>
    <col min="22" max="22" width="19.125" style="11" customWidth="1"/>
    <col min="23" max="23" width="18" style="11" bestFit="1" customWidth="1"/>
    <col min="24" max="24" width="16.25" style="11" customWidth="1"/>
    <col min="25" max="25" width="14.625" style="11" customWidth="1"/>
    <col min="26" max="27" width="15.375" style="11" customWidth="1"/>
    <col min="28" max="28" width="21.75" style="11" customWidth="1"/>
    <col min="29" max="29" width="25.25" style="11" customWidth="1"/>
    <col min="30" max="30" width="25.875" style="11" customWidth="1"/>
    <col min="31" max="31" width="26.125" style="11" customWidth="1"/>
    <col min="32" max="32" width="26.125" style="11" hidden="1" customWidth="1"/>
    <col min="33" max="33" width="26.125" style="40" hidden="1" customWidth="1"/>
    <col min="34" max="35" width="26.125" style="11" hidden="1" customWidth="1"/>
    <col min="36" max="37" width="31.25" style="11" hidden="1" customWidth="1"/>
    <col min="38" max="38" width="26.125" style="11" hidden="1" customWidth="1"/>
    <col min="39" max="39" width="26.875" style="11" customWidth="1"/>
    <col min="40" max="40" width="0" style="11" hidden="1" customWidth="1"/>
    <col min="41" max="41" width="17.125" style="11" hidden="1" customWidth="1"/>
    <col min="42" max="42" width="9.125" style="11" customWidth="1"/>
    <col min="43" max="16384" width="9.125" style="11"/>
  </cols>
  <sheetData>
    <row r="1" spans="1:41" ht="15" x14ac:dyDescent="0.25">
      <c r="A1" s="20"/>
      <c r="B1" s="10"/>
      <c r="C1" s="10"/>
      <c r="D1" s="10"/>
      <c r="E1" s="10"/>
      <c r="F1" s="10"/>
      <c r="G1" s="20"/>
      <c r="H1" s="10"/>
      <c r="I1" s="36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36"/>
      <c r="AH1" s="10"/>
      <c r="AI1" s="10"/>
      <c r="AJ1" s="10"/>
      <c r="AK1" s="10"/>
      <c r="AL1" s="10"/>
      <c r="AM1" s="10"/>
    </row>
    <row r="2" spans="1:41" ht="15" x14ac:dyDescent="0.2">
      <c r="A2" s="27" t="s">
        <v>1608</v>
      </c>
      <c r="B2" s="12"/>
      <c r="C2" s="12"/>
      <c r="D2" s="12"/>
      <c r="E2" s="12"/>
      <c r="F2" s="12"/>
      <c r="G2" s="21"/>
      <c r="H2" s="12"/>
      <c r="I2" s="37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37"/>
      <c r="AH2" s="12"/>
      <c r="AI2" s="12"/>
      <c r="AJ2" s="12"/>
      <c r="AK2" s="12"/>
      <c r="AL2" s="12"/>
      <c r="AM2" s="12"/>
    </row>
    <row r="3" spans="1:41" ht="15" x14ac:dyDescent="0.2">
      <c r="A3" s="21"/>
      <c r="B3" s="13"/>
      <c r="C3" s="13"/>
      <c r="D3" s="13"/>
      <c r="E3" s="13"/>
      <c r="F3" s="12"/>
      <c r="G3" s="21"/>
      <c r="H3" s="12"/>
      <c r="I3" s="3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37"/>
      <c r="AH3" s="12"/>
      <c r="AI3" s="12"/>
      <c r="AJ3" s="12"/>
      <c r="AK3" s="12"/>
      <c r="AL3" s="12"/>
      <c r="AM3" s="12"/>
    </row>
    <row r="4" spans="1:41" ht="15" x14ac:dyDescent="0.2">
      <c r="B4" s="45" t="s">
        <v>1609</v>
      </c>
      <c r="C4" s="45"/>
      <c r="D4" s="45"/>
      <c r="E4" s="45"/>
      <c r="F4" s="45"/>
      <c r="G4" s="22"/>
      <c r="H4" s="12"/>
      <c r="I4" s="3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4"/>
      <c r="AC4" s="12"/>
      <c r="AD4" s="12"/>
      <c r="AE4" s="12"/>
      <c r="AF4" s="12"/>
      <c r="AG4" s="37"/>
      <c r="AH4" s="12"/>
      <c r="AI4" s="12"/>
      <c r="AJ4" s="12"/>
      <c r="AK4" s="12"/>
      <c r="AL4" s="12"/>
      <c r="AM4" s="12"/>
    </row>
    <row r="5" spans="1:41" ht="15" x14ac:dyDescent="0.2">
      <c r="A5" s="22"/>
      <c r="B5" s="19" t="s">
        <v>1610</v>
      </c>
      <c r="C5" s="15" t="s">
        <v>1611</v>
      </c>
      <c r="D5" s="19"/>
      <c r="E5" s="19" t="s">
        <v>1612</v>
      </c>
      <c r="F5" s="12" t="s">
        <v>1613</v>
      </c>
      <c r="G5" s="21"/>
      <c r="H5" s="12"/>
      <c r="I5" s="37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4"/>
      <c r="AC5" s="12"/>
      <c r="AD5" s="12"/>
      <c r="AE5" s="12"/>
      <c r="AF5" s="12"/>
      <c r="AG5" s="37"/>
      <c r="AH5" s="12"/>
      <c r="AI5" s="12"/>
      <c r="AJ5" s="12"/>
      <c r="AK5" s="12"/>
      <c r="AL5" s="12"/>
      <c r="AM5" s="12"/>
    </row>
    <row r="6" spans="1:41" ht="15" x14ac:dyDescent="0.2">
      <c r="A6" s="30"/>
      <c r="B6" s="31" t="s">
        <v>1614</v>
      </c>
      <c r="C6" s="32"/>
      <c r="D6" s="31"/>
      <c r="E6" s="33" t="s">
        <v>1615</v>
      </c>
      <c r="F6" s="12"/>
      <c r="G6" s="21"/>
      <c r="H6" s="12"/>
      <c r="I6" s="3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37"/>
      <c r="AH6" s="12"/>
      <c r="AI6" s="12"/>
      <c r="AJ6" s="12"/>
      <c r="AK6" s="12"/>
      <c r="AL6" s="12"/>
      <c r="AM6" s="12"/>
    </row>
    <row r="7" spans="1:41" x14ac:dyDescent="0.2">
      <c r="A7" s="23"/>
      <c r="B7" s="16"/>
      <c r="C7" s="16"/>
      <c r="D7" s="16"/>
      <c r="E7" s="16"/>
      <c r="F7" s="16"/>
      <c r="G7" s="23"/>
      <c r="H7" s="16"/>
      <c r="I7" s="38"/>
      <c r="J7" s="16"/>
      <c r="K7" s="16"/>
      <c r="L7" s="46" t="s">
        <v>1616</v>
      </c>
      <c r="M7" s="47"/>
      <c r="N7" s="16"/>
      <c r="O7" s="16"/>
      <c r="P7" s="16"/>
      <c r="Q7" s="16"/>
      <c r="R7" s="16"/>
      <c r="S7" s="16"/>
      <c r="T7" s="16"/>
      <c r="U7" s="48" t="s">
        <v>1617</v>
      </c>
      <c r="V7" s="49"/>
      <c r="W7" s="49"/>
      <c r="X7" s="49"/>
      <c r="Y7" s="49"/>
      <c r="Z7" s="49"/>
      <c r="AA7" s="16"/>
      <c r="AB7" s="16"/>
      <c r="AC7" s="16"/>
      <c r="AD7" s="16"/>
      <c r="AE7" s="16"/>
      <c r="AF7" s="46" t="s">
        <v>1618</v>
      </c>
      <c r="AG7" s="50"/>
      <c r="AH7" s="50"/>
      <c r="AI7" s="50"/>
      <c r="AJ7" s="50"/>
      <c r="AK7" s="50"/>
      <c r="AL7" s="47"/>
      <c r="AM7" s="16"/>
      <c r="AN7" s="16"/>
      <c r="AO7" s="16"/>
    </row>
    <row r="8" spans="1:41" x14ac:dyDescent="0.2">
      <c r="A8" s="28" t="s">
        <v>4</v>
      </c>
      <c r="B8" s="16" t="s">
        <v>6</v>
      </c>
      <c r="C8" s="16" t="s">
        <v>8</v>
      </c>
      <c r="D8" s="16" t="s">
        <v>10</v>
      </c>
      <c r="E8" s="16" t="s">
        <v>12</v>
      </c>
      <c r="F8" s="16" t="s">
        <v>1619</v>
      </c>
      <c r="G8" s="23" t="s">
        <v>16</v>
      </c>
      <c r="H8" s="16" t="s">
        <v>27</v>
      </c>
      <c r="I8" s="38" t="s">
        <v>29</v>
      </c>
      <c r="J8" s="16" t="s">
        <v>37</v>
      </c>
      <c r="K8" s="16" t="s">
        <v>39</v>
      </c>
      <c r="L8" s="16" t="s">
        <v>81</v>
      </c>
      <c r="M8" s="16" t="s">
        <v>83</v>
      </c>
      <c r="N8" s="16" t="s">
        <v>31</v>
      </c>
      <c r="O8" s="16" t="s">
        <v>55</v>
      </c>
      <c r="P8" s="16" t="s">
        <v>57</v>
      </c>
      <c r="Q8" s="16" t="s">
        <v>59</v>
      </c>
      <c r="R8" s="16" t="s">
        <v>61</v>
      </c>
      <c r="S8" s="16" t="s">
        <v>63</v>
      </c>
      <c r="T8" s="16" t="s">
        <v>65</v>
      </c>
      <c r="U8" s="16" t="s">
        <v>43</v>
      </c>
      <c r="V8" s="16" t="s">
        <v>45</v>
      </c>
      <c r="W8" s="16" t="s">
        <v>47</v>
      </c>
      <c r="X8" s="16" t="s">
        <v>49</v>
      </c>
      <c r="Y8" s="16" t="s">
        <v>51</v>
      </c>
      <c r="Z8" s="16" t="s">
        <v>53</v>
      </c>
      <c r="AA8" s="16" t="s">
        <v>14</v>
      </c>
      <c r="AB8" s="16" t="s">
        <v>18</v>
      </c>
      <c r="AC8" s="16" t="s">
        <v>20</v>
      </c>
      <c r="AD8" s="16" t="s">
        <v>22</v>
      </c>
      <c r="AE8" s="16" t="s">
        <v>26</v>
      </c>
      <c r="AF8" s="16" t="s">
        <v>67</v>
      </c>
      <c r="AG8" s="38" t="s">
        <v>69</v>
      </c>
      <c r="AH8" s="16" t="s">
        <v>71</v>
      </c>
      <c r="AI8" s="16" t="s">
        <v>73</v>
      </c>
      <c r="AJ8" s="16" t="s">
        <v>75</v>
      </c>
      <c r="AK8" s="16" t="s">
        <v>79</v>
      </c>
      <c r="AL8" s="16" t="s">
        <v>77</v>
      </c>
      <c r="AM8" s="16" t="s">
        <v>1620</v>
      </c>
      <c r="AN8" s="16" t="s">
        <v>1620</v>
      </c>
      <c r="AO8" s="16" t="s">
        <v>41</v>
      </c>
    </row>
    <row r="9" spans="1:41" ht="15" x14ac:dyDescent="0.2">
      <c r="A9" s="41" t="str">
        <f>IF(COUNTA(B9)&gt;0,1,"")</f>
        <v/>
      </c>
      <c r="B9" s="30"/>
      <c r="C9" s="30"/>
      <c r="D9" s="30"/>
      <c r="E9" s="30"/>
      <c r="F9" s="30"/>
      <c r="G9" s="24" t="str">
        <f t="shared" ref="G9:G2000" si="0">IFERROR(VLOOKUP(MNS,MANOISINH,2,0),"")</f>
        <v/>
      </c>
      <c r="H9" s="30"/>
      <c r="I9" s="39"/>
      <c r="J9" s="30"/>
      <c r="K9" s="30"/>
      <c r="L9" s="18"/>
      <c r="M9" s="18"/>
      <c r="N9" s="42" t="str">
        <f>IF(COUNTA(B9)&gt;0,C5,"")</f>
        <v/>
      </c>
      <c r="O9" s="30"/>
      <c r="P9" s="30"/>
      <c r="Q9" s="30"/>
      <c r="R9" s="30"/>
      <c r="S9" s="30"/>
      <c r="T9" s="30"/>
      <c r="U9" s="18"/>
      <c r="V9" s="18"/>
      <c r="W9" s="18"/>
      <c r="X9" s="18"/>
      <c r="Y9" s="18"/>
      <c r="Z9" s="18"/>
      <c r="AA9" s="18"/>
      <c r="AB9" s="17"/>
      <c r="AC9" s="18"/>
      <c r="AD9" s="18"/>
      <c r="AE9" s="18"/>
      <c r="AF9" s="18"/>
      <c r="AG9" s="39"/>
      <c r="AH9" s="18"/>
      <c r="AI9" s="18"/>
      <c r="AJ9" s="18"/>
      <c r="AK9" s="18"/>
      <c r="AL9" s="18"/>
      <c r="AM9" s="17"/>
      <c r="AO9" t="str">
        <f t="shared" ref="AO9:AO72" si="1">IF(COUNTA(L9:M9)&lt;&gt;0,"Có",IF(COUNTA(B9)&gt;0,"Không",""))</f>
        <v/>
      </c>
    </row>
    <row r="10" spans="1:41" ht="15" x14ac:dyDescent="0.2">
      <c r="A10" s="41" t="str">
        <f>IF(COUNTA(B10)&gt;0,2,"")</f>
        <v/>
      </c>
      <c r="B10" s="30"/>
      <c r="C10" s="30"/>
      <c r="D10" s="30"/>
      <c r="E10" s="30"/>
      <c r="F10" s="30"/>
      <c r="G10" s="24" t="str">
        <f t="shared" si="0"/>
        <v/>
      </c>
      <c r="H10" s="30"/>
      <c r="I10" s="39"/>
      <c r="J10" s="30"/>
      <c r="K10" s="30"/>
      <c r="L10" s="18"/>
      <c r="M10" s="18"/>
      <c r="N10" s="42" t="str">
        <f>IF(COUNTA(B10)&gt;0,C5,"")</f>
        <v/>
      </c>
      <c r="O10" s="30"/>
      <c r="P10" s="30"/>
      <c r="Q10" s="30"/>
      <c r="R10" s="30"/>
      <c r="S10" s="30"/>
      <c r="T10" s="30"/>
      <c r="U10" s="18"/>
      <c r="V10" s="18"/>
      <c r="W10" s="18"/>
      <c r="X10" s="18"/>
      <c r="Y10" s="18"/>
      <c r="Z10" s="18"/>
      <c r="AA10" s="18"/>
      <c r="AB10" s="17"/>
      <c r="AC10" s="18"/>
      <c r="AD10" s="18"/>
      <c r="AE10" s="18"/>
      <c r="AF10" s="18"/>
      <c r="AG10" s="39"/>
      <c r="AH10" s="18"/>
      <c r="AI10" s="18"/>
      <c r="AJ10" s="18"/>
      <c r="AK10" s="18"/>
      <c r="AL10" s="18"/>
      <c r="AM10" s="17"/>
      <c r="AO10" t="str">
        <f t="shared" si="1"/>
        <v/>
      </c>
    </row>
    <row r="11" spans="1:41" ht="15" x14ac:dyDescent="0.2">
      <c r="A11" s="41" t="str">
        <f>IF(COUNTA(B11)&gt;0,3,"")</f>
        <v/>
      </c>
      <c r="B11" s="30"/>
      <c r="C11" s="30"/>
      <c r="D11" s="30"/>
      <c r="E11" s="30"/>
      <c r="F11" s="30"/>
      <c r="G11" s="24" t="str">
        <f t="shared" si="0"/>
        <v/>
      </c>
      <c r="H11" s="30"/>
      <c r="I11" s="39"/>
      <c r="J11" s="30"/>
      <c r="K11" s="30"/>
      <c r="L11" s="18"/>
      <c r="M11" s="18"/>
      <c r="N11" s="42" t="str">
        <f>IF(COUNTA(B11)&gt;0,C5,"")</f>
        <v/>
      </c>
      <c r="O11" s="30"/>
      <c r="P11" s="30"/>
      <c r="Q11" s="30"/>
      <c r="R11" s="30"/>
      <c r="S11" s="30"/>
      <c r="T11" s="30"/>
      <c r="U11" s="18"/>
      <c r="V11" s="18"/>
      <c r="W11" s="18"/>
      <c r="X11" s="18"/>
      <c r="Y11" s="18"/>
      <c r="Z11" s="18"/>
      <c r="AA11" s="18"/>
      <c r="AB11" s="17"/>
      <c r="AC11" s="18"/>
      <c r="AD11" s="18"/>
      <c r="AE11" s="18"/>
      <c r="AF11" s="18"/>
      <c r="AG11" s="39"/>
      <c r="AH11" s="18"/>
      <c r="AI11" s="18"/>
      <c r="AJ11" s="18"/>
      <c r="AK11" s="18"/>
      <c r="AL11" s="18"/>
      <c r="AM11" s="17"/>
      <c r="AO11" t="str">
        <f t="shared" si="1"/>
        <v/>
      </c>
    </row>
    <row r="12" spans="1:41" ht="15" x14ac:dyDescent="0.2">
      <c r="A12" s="41" t="str">
        <f>IF(COUNTA(B12)&gt;0,4,"")</f>
        <v/>
      </c>
      <c r="B12" s="30"/>
      <c r="C12" s="30"/>
      <c r="D12" s="30"/>
      <c r="E12" s="30"/>
      <c r="F12" s="30"/>
      <c r="G12" s="24" t="str">
        <f t="shared" si="0"/>
        <v/>
      </c>
      <c r="H12" s="30"/>
      <c r="I12" s="39"/>
      <c r="J12" s="30"/>
      <c r="K12" s="30"/>
      <c r="L12" s="18"/>
      <c r="M12" s="18"/>
      <c r="N12" s="42" t="str">
        <f>IF(COUNTA(B12)&gt;0,C5,"")</f>
        <v/>
      </c>
      <c r="O12" s="30"/>
      <c r="P12" s="30"/>
      <c r="Q12" s="30"/>
      <c r="R12" s="30"/>
      <c r="S12" s="30"/>
      <c r="T12" s="30"/>
      <c r="U12" s="18"/>
      <c r="V12" s="18"/>
      <c r="W12" s="18"/>
      <c r="X12" s="18"/>
      <c r="Y12" s="18"/>
      <c r="Z12" s="18"/>
      <c r="AA12" s="18"/>
      <c r="AB12" s="17"/>
      <c r="AC12" s="18"/>
      <c r="AD12" s="18"/>
      <c r="AE12" s="18"/>
      <c r="AF12" s="18"/>
      <c r="AG12" s="39"/>
      <c r="AH12" s="18"/>
      <c r="AI12" s="18"/>
      <c r="AJ12" s="18"/>
      <c r="AK12" s="18"/>
      <c r="AL12" s="18"/>
      <c r="AM12" s="17"/>
      <c r="AO12" t="str">
        <f t="shared" si="1"/>
        <v/>
      </c>
    </row>
    <row r="13" spans="1:41" ht="15" x14ac:dyDescent="0.2">
      <c r="A13" s="41" t="str">
        <f>IF(COUNTA(B13)&gt;0,5,"")</f>
        <v/>
      </c>
      <c r="B13" s="30"/>
      <c r="C13" s="30"/>
      <c r="D13" s="30"/>
      <c r="E13" s="30"/>
      <c r="F13" s="30"/>
      <c r="G13" s="24" t="str">
        <f t="shared" si="0"/>
        <v/>
      </c>
      <c r="H13" s="30"/>
      <c r="I13" s="39"/>
      <c r="J13" s="30"/>
      <c r="K13" s="30"/>
      <c r="L13" s="18"/>
      <c r="M13" s="18"/>
      <c r="N13" s="42" t="str">
        <f>IF(COUNTA(B13)&gt;0,C5,"")</f>
        <v/>
      </c>
      <c r="O13" s="30"/>
      <c r="P13" s="30"/>
      <c r="Q13" s="30"/>
      <c r="R13" s="30"/>
      <c r="S13" s="30"/>
      <c r="T13" s="30"/>
      <c r="U13" s="18"/>
      <c r="V13" s="18"/>
      <c r="W13" s="18"/>
      <c r="X13" s="18"/>
      <c r="Y13" s="18"/>
      <c r="Z13" s="18"/>
      <c r="AA13" s="18"/>
      <c r="AB13" s="17"/>
      <c r="AC13" s="18"/>
      <c r="AD13" s="18"/>
      <c r="AE13" s="18"/>
      <c r="AF13" s="18"/>
      <c r="AG13" s="39"/>
      <c r="AH13" s="18"/>
      <c r="AI13" s="18"/>
      <c r="AJ13" s="18"/>
      <c r="AK13" s="18"/>
      <c r="AL13" s="18"/>
      <c r="AM13" s="17"/>
      <c r="AO13" t="str">
        <f t="shared" si="1"/>
        <v/>
      </c>
    </row>
    <row r="14" spans="1:41" ht="15" x14ac:dyDescent="0.2">
      <c r="A14" s="41" t="str">
        <f>IF(COUNTA(B14)&gt;0,6,"")</f>
        <v/>
      </c>
      <c r="B14" s="18"/>
      <c r="C14" s="18"/>
      <c r="D14" s="18"/>
      <c r="E14" s="18"/>
      <c r="F14" s="18"/>
      <c r="G14" s="24" t="str">
        <f t="shared" si="0"/>
        <v/>
      </c>
      <c r="H14" s="18"/>
      <c r="I14" s="39"/>
      <c r="J14" s="18"/>
      <c r="K14" s="18"/>
      <c r="L14" s="18"/>
      <c r="M14" s="18"/>
      <c r="N14" s="43" t="str">
        <f>IF(COUNTA(B14)&gt;0,C5,"")</f>
        <v/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7"/>
      <c r="AC14" s="18"/>
      <c r="AD14" s="18"/>
      <c r="AE14" s="18"/>
      <c r="AF14" s="18"/>
      <c r="AG14" s="39"/>
      <c r="AH14" s="18"/>
      <c r="AI14" s="18"/>
      <c r="AJ14" s="18"/>
      <c r="AK14" s="18"/>
      <c r="AL14" s="18"/>
      <c r="AM14" s="17"/>
      <c r="AO14" t="str">
        <f t="shared" si="1"/>
        <v/>
      </c>
    </row>
    <row r="15" spans="1:41" ht="15" x14ac:dyDescent="0.2">
      <c r="A15" s="41" t="str">
        <f>IF(COUNTA(B15)&gt;0,7,"")</f>
        <v/>
      </c>
      <c r="B15" s="18"/>
      <c r="C15" s="18"/>
      <c r="D15" s="18"/>
      <c r="E15" s="18"/>
      <c r="F15" s="18"/>
      <c r="G15" s="24" t="str">
        <f t="shared" si="0"/>
        <v/>
      </c>
      <c r="H15" s="18"/>
      <c r="I15" s="39"/>
      <c r="J15" s="18"/>
      <c r="K15" s="18"/>
      <c r="L15" s="18"/>
      <c r="M15" s="18"/>
      <c r="N15" s="43" t="str">
        <f>IF(COUNTA(B15)&gt;0,C5,"")</f>
        <v/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7"/>
      <c r="AC15" s="18"/>
      <c r="AD15" s="18"/>
      <c r="AE15" s="18"/>
      <c r="AF15" s="18"/>
      <c r="AG15" s="39"/>
      <c r="AH15" s="18"/>
      <c r="AI15" s="18"/>
      <c r="AJ15" s="18"/>
      <c r="AK15" s="18"/>
      <c r="AL15" s="18"/>
      <c r="AM15" s="17"/>
      <c r="AO15" t="str">
        <f t="shared" si="1"/>
        <v/>
      </c>
    </row>
    <row r="16" spans="1:41" ht="15" x14ac:dyDescent="0.2">
      <c r="A16" s="41" t="str">
        <f>IF(COUNTA(B16)&gt;0,8,"")</f>
        <v/>
      </c>
      <c r="B16" s="18"/>
      <c r="C16" s="18"/>
      <c r="D16" s="18"/>
      <c r="E16" s="18"/>
      <c r="F16" s="18"/>
      <c r="G16" s="24" t="str">
        <f t="shared" si="0"/>
        <v/>
      </c>
      <c r="H16" s="18"/>
      <c r="I16" s="39"/>
      <c r="J16" s="18"/>
      <c r="K16" s="18"/>
      <c r="L16" s="18"/>
      <c r="M16" s="18"/>
      <c r="N16" s="43" t="str">
        <f>IF(COUNTA(B16)&gt;0,C5,"")</f>
        <v/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7"/>
      <c r="AC16" s="18"/>
      <c r="AD16" s="18"/>
      <c r="AE16" s="18"/>
      <c r="AF16" s="18"/>
      <c r="AG16" s="39"/>
      <c r="AH16" s="18"/>
      <c r="AI16" s="18"/>
      <c r="AJ16" s="18"/>
      <c r="AK16" s="18"/>
      <c r="AL16" s="18"/>
      <c r="AM16" s="17"/>
      <c r="AO16" t="str">
        <f t="shared" si="1"/>
        <v/>
      </c>
    </row>
    <row r="17" spans="1:41" ht="15" x14ac:dyDescent="0.2">
      <c r="A17" s="41" t="str">
        <f>IF(COUNTA(B17)&gt;0,9,"")</f>
        <v/>
      </c>
      <c r="B17" s="18"/>
      <c r="C17" s="18"/>
      <c r="D17" s="18"/>
      <c r="E17" s="18"/>
      <c r="F17" s="18"/>
      <c r="G17" s="24" t="str">
        <f t="shared" si="0"/>
        <v/>
      </c>
      <c r="H17" s="18"/>
      <c r="I17" s="39"/>
      <c r="J17" s="18"/>
      <c r="K17" s="18"/>
      <c r="L17" s="18"/>
      <c r="M17" s="18"/>
      <c r="N17" s="43" t="str">
        <f>IF(COUNTA(B17)&gt;0,C5,"")</f>
        <v/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7"/>
      <c r="AC17" s="18"/>
      <c r="AD17" s="18"/>
      <c r="AE17" s="18"/>
      <c r="AF17" s="18"/>
      <c r="AG17" s="39"/>
      <c r="AH17" s="18"/>
      <c r="AI17" s="18"/>
      <c r="AJ17" s="18"/>
      <c r="AK17" s="18"/>
      <c r="AL17" s="18"/>
      <c r="AM17" s="17"/>
      <c r="AO17" t="str">
        <f t="shared" si="1"/>
        <v/>
      </c>
    </row>
    <row r="18" spans="1:41" ht="15" x14ac:dyDescent="0.2">
      <c r="A18" s="41" t="str">
        <f>IF(COUNTA(B18)&gt;0,10,"")</f>
        <v/>
      </c>
      <c r="B18" s="18"/>
      <c r="C18" s="18"/>
      <c r="D18" s="18"/>
      <c r="E18" s="18"/>
      <c r="F18" s="18"/>
      <c r="G18" s="24" t="str">
        <f t="shared" si="0"/>
        <v/>
      </c>
      <c r="H18" s="18"/>
      <c r="I18" s="39"/>
      <c r="J18" s="18"/>
      <c r="K18" s="18"/>
      <c r="L18" s="18"/>
      <c r="M18" s="18"/>
      <c r="N18" s="43" t="str">
        <f>IF(COUNTA(B18)&gt;0,C5,"")</f>
        <v/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7"/>
      <c r="AC18" s="18"/>
      <c r="AD18" s="18"/>
      <c r="AE18" s="18"/>
      <c r="AF18" s="18"/>
      <c r="AG18" s="39"/>
      <c r="AH18" s="18"/>
      <c r="AI18" s="18"/>
      <c r="AJ18" s="18"/>
      <c r="AK18" s="18"/>
      <c r="AL18" s="18"/>
      <c r="AM18" s="17"/>
      <c r="AO18" t="str">
        <f t="shared" si="1"/>
        <v/>
      </c>
    </row>
    <row r="19" spans="1:41" ht="15" x14ac:dyDescent="0.2">
      <c r="A19" s="41" t="str">
        <f>IF(COUNTA(B19)&gt;0,11,"")</f>
        <v/>
      </c>
      <c r="B19" s="18"/>
      <c r="C19" s="18"/>
      <c r="D19" s="18"/>
      <c r="E19" s="18"/>
      <c r="F19" s="18"/>
      <c r="G19" s="24" t="str">
        <f t="shared" si="0"/>
        <v/>
      </c>
      <c r="H19" s="18"/>
      <c r="I19" s="39"/>
      <c r="J19" s="18"/>
      <c r="K19" s="18"/>
      <c r="L19" s="18"/>
      <c r="M19" s="18"/>
      <c r="N19" s="43" t="str">
        <f>IF(COUNTA(B19)&gt;0,C5,"")</f>
        <v/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7"/>
      <c r="AC19" s="18"/>
      <c r="AD19" s="18"/>
      <c r="AE19" s="18"/>
      <c r="AF19" s="18"/>
      <c r="AG19" s="39"/>
      <c r="AH19" s="18"/>
      <c r="AI19" s="18"/>
      <c r="AJ19" s="18"/>
      <c r="AK19" s="18"/>
      <c r="AL19" s="18"/>
      <c r="AM19" s="17"/>
      <c r="AO19" t="str">
        <f t="shared" si="1"/>
        <v/>
      </c>
    </row>
    <row r="20" spans="1:41" ht="15" x14ac:dyDescent="0.2">
      <c r="A20" s="41" t="str">
        <f>IF(COUNTA(B20)&gt;0,12,"")</f>
        <v/>
      </c>
      <c r="B20" s="18"/>
      <c r="C20" s="18"/>
      <c r="D20" s="18"/>
      <c r="E20" s="18"/>
      <c r="F20" s="18"/>
      <c r="G20" s="24" t="str">
        <f t="shared" si="0"/>
        <v/>
      </c>
      <c r="H20" s="18"/>
      <c r="I20" s="39"/>
      <c r="J20" s="18"/>
      <c r="K20" s="18"/>
      <c r="L20" s="18"/>
      <c r="M20" s="18"/>
      <c r="N20" s="43" t="str">
        <f>IF(COUNTA(B20)&gt;0,C5,"")</f>
        <v/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7"/>
      <c r="AC20" s="18"/>
      <c r="AD20" s="18"/>
      <c r="AE20" s="18"/>
      <c r="AF20" s="18"/>
      <c r="AG20" s="39"/>
      <c r="AH20" s="18"/>
      <c r="AI20" s="18"/>
      <c r="AJ20" s="18"/>
      <c r="AK20" s="18"/>
      <c r="AL20" s="18"/>
      <c r="AM20" s="17"/>
      <c r="AO20" t="str">
        <f t="shared" si="1"/>
        <v/>
      </c>
    </row>
    <row r="21" spans="1:41" ht="15" x14ac:dyDescent="0.2">
      <c r="A21" s="41" t="str">
        <f>IF(COUNTA(B21)&gt;0,13,"")</f>
        <v/>
      </c>
      <c r="B21" s="18"/>
      <c r="C21" s="18"/>
      <c r="D21" s="18"/>
      <c r="E21" s="18"/>
      <c r="F21" s="18"/>
      <c r="G21" s="24" t="str">
        <f t="shared" si="0"/>
        <v/>
      </c>
      <c r="H21" s="18"/>
      <c r="I21" s="39"/>
      <c r="J21" s="18"/>
      <c r="K21" s="18"/>
      <c r="L21" s="18"/>
      <c r="M21" s="18"/>
      <c r="N21" s="43" t="str">
        <f>IF(COUNTA(B21)&gt;0,C5,"")</f>
        <v/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7"/>
      <c r="AC21" s="18"/>
      <c r="AD21" s="18"/>
      <c r="AE21" s="18"/>
      <c r="AF21" s="18"/>
      <c r="AG21" s="39"/>
      <c r="AH21" s="18"/>
      <c r="AI21" s="18"/>
      <c r="AJ21" s="18"/>
      <c r="AK21" s="18"/>
      <c r="AL21" s="18"/>
      <c r="AM21" s="17"/>
      <c r="AO21" t="str">
        <f t="shared" si="1"/>
        <v/>
      </c>
    </row>
    <row r="22" spans="1:41" ht="15" x14ac:dyDescent="0.2">
      <c r="A22" s="41" t="str">
        <f>IF(COUNTA(B22)&gt;0,14,"")</f>
        <v/>
      </c>
      <c r="B22" s="18"/>
      <c r="C22" s="18"/>
      <c r="D22" s="18"/>
      <c r="E22" s="18"/>
      <c r="F22" s="18"/>
      <c r="G22" s="24" t="str">
        <f t="shared" si="0"/>
        <v/>
      </c>
      <c r="H22" s="18"/>
      <c r="I22" s="39"/>
      <c r="J22" s="18"/>
      <c r="K22" s="18"/>
      <c r="L22" s="18"/>
      <c r="M22" s="18"/>
      <c r="N22" s="43" t="str">
        <f>IF(COUNTA(B22)&gt;0,C5,"")</f>
        <v/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7"/>
      <c r="AC22" s="18"/>
      <c r="AD22" s="18"/>
      <c r="AE22" s="18"/>
      <c r="AF22" s="18"/>
      <c r="AG22" s="39"/>
      <c r="AH22" s="18"/>
      <c r="AI22" s="18"/>
      <c r="AJ22" s="18"/>
      <c r="AK22" s="18"/>
      <c r="AL22" s="18"/>
      <c r="AM22" s="17"/>
      <c r="AO22" t="str">
        <f t="shared" si="1"/>
        <v/>
      </c>
    </row>
    <row r="23" spans="1:41" ht="15" x14ac:dyDescent="0.2">
      <c r="A23" s="41" t="str">
        <f>IF(COUNTA(B23)&gt;0,15,"")</f>
        <v/>
      </c>
      <c r="B23" s="18"/>
      <c r="C23" s="18"/>
      <c r="D23" s="18"/>
      <c r="E23" s="18"/>
      <c r="F23" s="18"/>
      <c r="G23" s="24" t="str">
        <f t="shared" si="0"/>
        <v/>
      </c>
      <c r="H23" s="18"/>
      <c r="I23" s="39"/>
      <c r="J23" s="18"/>
      <c r="K23" s="18"/>
      <c r="L23" s="18"/>
      <c r="M23" s="18"/>
      <c r="N23" s="43" t="str">
        <f>IF(COUNTA(B23)&gt;0,C5,"")</f>
        <v/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7"/>
      <c r="AC23" s="18"/>
      <c r="AD23" s="18"/>
      <c r="AE23" s="18"/>
      <c r="AF23" s="18"/>
      <c r="AG23" s="39"/>
      <c r="AH23" s="18"/>
      <c r="AI23" s="18"/>
      <c r="AJ23" s="18"/>
      <c r="AK23" s="18"/>
      <c r="AL23" s="18"/>
      <c r="AM23" s="17"/>
      <c r="AO23" t="str">
        <f t="shared" si="1"/>
        <v/>
      </c>
    </row>
    <row r="24" spans="1:41" ht="15" x14ac:dyDescent="0.2">
      <c r="A24" s="41" t="str">
        <f>IF(COUNTA(B24)&gt;0,16,"")</f>
        <v/>
      </c>
      <c r="B24" s="18"/>
      <c r="C24" s="18"/>
      <c r="D24" s="18"/>
      <c r="E24" s="18"/>
      <c r="F24" s="18"/>
      <c r="G24" s="24" t="str">
        <f t="shared" si="0"/>
        <v/>
      </c>
      <c r="H24" s="18"/>
      <c r="I24" s="39"/>
      <c r="J24" s="18"/>
      <c r="K24" s="18"/>
      <c r="L24" s="18"/>
      <c r="M24" s="18"/>
      <c r="N24" s="43" t="str">
        <f>IF(COUNTA(B24)&gt;0,C5,"")</f>
        <v/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7"/>
      <c r="AC24" s="18"/>
      <c r="AD24" s="18"/>
      <c r="AE24" s="18"/>
      <c r="AF24" s="18"/>
      <c r="AG24" s="39"/>
      <c r="AH24" s="18"/>
      <c r="AI24" s="18"/>
      <c r="AJ24" s="18"/>
      <c r="AK24" s="18"/>
      <c r="AL24" s="18"/>
      <c r="AM24" s="17"/>
      <c r="AO24" t="str">
        <f t="shared" si="1"/>
        <v/>
      </c>
    </row>
    <row r="25" spans="1:41" ht="15" x14ac:dyDescent="0.2">
      <c r="A25" s="41" t="str">
        <f>IF(COUNTA(B25)&gt;0,17,"")</f>
        <v/>
      </c>
      <c r="B25" s="18"/>
      <c r="C25" s="18"/>
      <c r="D25" s="18"/>
      <c r="E25" s="18"/>
      <c r="F25" s="18"/>
      <c r="G25" s="24" t="str">
        <f t="shared" si="0"/>
        <v/>
      </c>
      <c r="H25" s="18"/>
      <c r="I25" s="39"/>
      <c r="J25" s="18"/>
      <c r="K25" s="18"/>
      <c r="L25" s="18"/>
      <c r="M25" s="18"/>
      <c r="N25" s="43" t="str">
        <f>IF(COUNTA(B25)&gt;0,C5,"")</f>
        <v/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7"/>
      <c r="AC25" s="18"/>
      <c r="AD25" s="18"/>
      <c r="AE25" s="18"/>
      <c r="AF25" s="18"/>
      <c r="AG25" s="39"/>
      <c r="AH25" s="18"/>
      <c r="AI25" s="18"/>
      <c r="AJ25" s="18"/>
      <c r="AK25" s="18"/>
      <c r="AL25" s="18"/>
      <c r="AM25" s="17"/>
      <c r="AO25" t="str">
        <f t="shared" si="1"/>
        <v/>
      </c>
    </row>
    <row r="26" spans="1:41" ht="15" x14ac:dyDescent="0.2">
      <c r="A26" s="41" t="str">
        <f>IF(COUNTA(B26)&gt;0,18,"")</f>
        <v/>
      </c>
      <c r="B26" s="18"/>
      <c r="C26" s="18"/>
      <c r="D26" s="18"/>
      <c r="E26" s="18"/>
      <c r="F26" s="18"/>
      <c r="G26" s="24" t="str">
        <f t="shared" si="0"/>
        <v/>
      </c>
      <c r="H26" s="18"/>
      <c r="I26" s="39"/>
      <c r="J26" s="18"/>
      <c r="K26" s="18"/>
      <c r="L26" s="18"/>
      <c r="M26" s="18"/>
      <c r="N26" s="43" t="str">
        <f>IF(COUNTA(B26)&gt;0,C5,"")</f>
        <v/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7"/>
      <c r="AC26" s="18"/>
      <c r="AD26" s="18"/>
      <c r="AE26" s="18"/>
      <c r="AF26" s="18"/>
      <c r="AG26" s="39"/>
      <c r="AH26" s="18"/>
      <c r="AI26" s="18"/>
      <c r="AJ26" s="18"/>
      <c r="AK26" s="18"/>
      <c r="AL26" s="18"/>
      <c r="AM26" s="17"/>
      <c r="AO26" t="str">
        <f t="shared" si="1"/>
        <v/>
      </c>
    </row>
    <row r="27" spans="1:41" ht="15" x14ac:dyDescent="0.2">
      <c r="A27" s="41" t="str">
        <f>IF(COUNTA(B27)&gt;0,19,"")</f>
        <v/>
      </c>
      <c r="B27" s="18"/>
      <c r="C27" s="18"/>
      <c r="D27" s="18"/>
      <c r="E27" s="18"/>
      <c r="F27" s="18"/>
      <c r="G27" s="24" t="str">
        <f t="shared" si="0"/>
        <v/>
      </c>
      <c r="H27" s="18"/>
      <c r="I27" s="39"/>
      <c r="J27" s="18"/>
      <c r="K27" s="18"/>
      <c r="L27" s="18"/>
      <c r="M27" s="18"/>
      <c r="N27" s="43" t="str">
        <f>IF(COUNTA(B27)&gt;0,C5,"")</f>
        <v/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7"/>
      <c r="AC27" s="18"/>
      <c r="AD27" s="18"/>
      <c r="AE27" s="18"/>
      <c r="AF27" s="18"/>
      <c r="AG27" s="39"/>
      <c r="AH27" s="18"/>
      <c r="AI27" s="18"/>
      <c r="AJ27" s="18"/>
      <c r="AK27" s="18"/>
      <c r="AL27" s="18"/>
      <c r="AM27" s="17"/>
      <c r="AO27" t="str">
        <f t="shared" si="1"/>
        <v/>
      </c>
    </row>
    <row r="28" spans="1:41" ht="15" x14ac:dyDescent="0.2">
      <c r="A28" s="41" t="str">
        <f>IF(COUNTA(B28)&gt;0,20,"")</f>
        <v/>
      </c>
      <c r="B28" s="18"/>
      <c r="C28" s="18"/>
      <c r="D28" s="18"/>
      <c r="E28" s="18"/>
      <c r="F28" s="18"/>
      <c r="G28" s="24" t="str">
        <f t="shared" si="0"/>
        <v/>
      </c>
      <c r="H28" s="18"/>
      <c r="I28" s="39"/>
      <c r="J28" s="18"/>
      <c r="K28" s="18"/>
      <c r="L28" s="18"/>
      <c r="M28" s="18"/>
      <c r="N28" s="43" t="str">
        <f>IF(COUNTA(B28)&gt;0,C5,"")</f>
        <v/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7"/>
      <c r="AC28" s="18"/>
      <c r="AD28" s="18"/>
      <c r="AE28" s="18"/>
      <c r="AF28" s="18"/>
      <c r="AG28" s="39"/>
      <c r="AH28" s="18"/>
      <c r="AI28" s="18"/>
      <c r="AJ28" s="18"/>
      <c r="AK28" s="18"/>
      <c r="AL28" s="18"/>
      <c r="AM28" s="17"/>
      <c r="AO28" t="str">
        <f t="shared" si="1"/>
        <v/>
      </c>
    </row>
    <row r="29" spans="1:41" ht="15" x14ac:dyDescent="0.2">
      <c r="A29" s="41" t="str">
        <f>IF(COUNTA(B29)&gt;0,21,"")</f>
        <v/>
      </c>
      <c r="B29" s="18"/>
      <c r="C29" s="18"/>
      <c r="D29" s="18"/>
      <c r="E29" s="18"/>
      <c r="F29" s="18"/>
      <c r="G29" s="24" t="str">
        <f t="shared" si="0"/>
        <v/>
      </c>
      <c r="H29" s="18"/>
      <c r="I29" s="39"/>
      <c r="J29" s="18"/>
      <c r="K29" s="18"/>
      <c r="L29" s="18"/>
      <c r="M29" s="18"/>
      <c r="N29" s="43" t="str">
        <f>IF(COUNTA(B29)&gt;0,C5,"")</f>
        <v/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7"/>
      <c r="AC29" s="18"/>
      <c r="AD29" s="18"/>
      <c r="AE29" s="18"/>
      <c r="AF29" s="18"/>
      <c r="AG29" s="39"/>
      <c r="AH29" s="18"/>
      <c r="AI29" s="18"/>
      <c r="AJ29" s="18"/>
      <c r="AK29" s="18"/>
      <c r="AL29" s="18"/>
      <c r="AM29" s="17"/>
      <c r="AO29" t="str">
        <f t="shared" si="1"/>
        <v/>
      </c>
    </row>
    <row r="30" spans="1:41" ht="15" x14ac:dyDescent="0.2">
      <c r="A30" s="41" t="str">
        <f>IF(COUNTA(B30)&gt;0,22,"")</f>
        <v/>
      </c>
      <c r="B30" s="18"/>
      <c r="C30" s="18"/>
      <c r="D30" s="18"/>
      <c r="E30" s="18"/>
      <c r="F30" s="18"/>
      <c r="G30" s="24" t="str">
        <f t="shared" si="0"/>
        <v/>
      </c>
      <c r="H30" s="18"/>
      <c r="I30" s="39"/>
      <c r="J30" s="18"/>
      <c r="K30" s="18"/>
      <c r="L30" s="18"/>
      <c r="M30" s="18"/>
      <c r="N30" s="43" t="str">
        <f>IF(COUNTA(B30)&gt;0,C5,"")</f>
        <v/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7"/>
      <c r="AC30" s="18"/>
      <c r="AD30" s="18"/>
      <c r="AE30" s="18"/>
      <c r="AF30" s="18"/>
      <c r="AG30" s="39"/>
      <c r="AH30" s="18"/>
      <c r="AI30" s="18"/>
      <c r="AJ30" s="18"/>
      <c r="AK30" s="18"/>
      <c r="AL30" s="18"/>
      <c r="AM30" s="17"/>
      <c r="AO30" t="str">
        <f t="shared" si="1"/>
        <v/>
      </c>
    </row>
    <row r="31" spans="1:41" ht="15" x14ac:dyDescent="0.2">
      <c r="A31" s="41" t="str">
        <f>IF(COUNTA(B31)&gt;0,23,"")</f>
        <v/>
      </c>
      <c r="B31" s="18"/>
      <c r="C31" s="18"/>
      <c r="D31" s="18"/>
      <c r="E31" s="18"/>
      <c r="F31" s="18"/>
      <c r="G31" s="24" t="str">
        <f t="shared" si="0"/>
        <v/>
      </c>
      <c r="H31" s="18"/>
      <c r="I31" s="39"/>
      <c r="J31" s="18"/>
      <c r="K31" s="18"/>
      <c r="L31" s="18"/>
      <c r="M31" s="18"/>
      <c r="N31" s="43" t="str">
        <f>IF(COUNTA(B31)&gt;0,C5,"")</f>
        <v/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7"/>
      <c r="AC31" s="18"/>
      <c r="AD31" s="18"/>
      <c r="AE31" s="18"/>
      <c r="AF31" s="18"/>
      <c r="AG31" s="39"/>
      <c r="AH31" s="18"/>
      <c r="AI31" s="18"/>
      <c r="AJ31" s="18"/>
      <c r="AK31" s="18"/>
      <c r="AL31" s="18"/>
      <c r="AM31" s="17"/>
      <c r="AO31" t="str">
        <f t="shared" si="1"/>
        <v/>
      </c>
    </row>
    <row r="32" spans="1:41" ht="15" x14ac:dyDescent="0.2">
      <c r="A32" s="41" t="str">
        <f>IF(COUNTA(B32)&gt;0,24,"")</f>
        <v/>
      </c>
      <c r="B32" s="18"/>
      <c r="C32" s="18"/>
      <c r="D32" s="18"/>
      <c r="E32" s="18"/>
      <c r="F32" s="18"/>
      <c r="G32" s="24" t="str">
        <f t="shared" si="0"/>
        <v/>
      </c>
      <c r="H32" s="18"/>
      <c r="I32" s="39"/>
      <c r="J32" s="18"/>
      <c r="K32" s="18"/>
      <c r="L32" s="18"/>
      <c r="M32" s="18"/>
      <c r="N32" s="43" t="str">
        <f>IF(COUNTA(B32)&gt;0,C5,"")</f>
        <v/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7"/>
      <c r="AC32" s="18"/>
      <c r="AD32" s="18"/>
      <c r="AE32" s="18"/>
      <c r="AF32" s="18"/>
      <c r="AG32" s="39"/>
      <c r="AH32" s="18"/>
      <c r="AI32" s="18"/>
      <c r="AJ32" s="18"/>
      <c r="AK32" s="18"/>
      <c r="AL32" s="18"/>
      <c r="AM32" s="17"/>
      <c r="AO32" t="str">
        <f t="shared" si="1"/>
        <v/>
      </c>
    </row>
    <row r="33" spans="1:41" ht="15" x14ac:dyDescent="0.2">
      <c r="A33" s="41" t="str">
        <f>IF(COUNTA(B33)&gt;0,25,"")</f>
        <v/>
      </c>
      <c r="B33" s="18"/>
      <c r="C33" s="18"/>
      <c r="D33" s="18"/>
      <c r="E33" s="18"/>
      <c r="F33" s="18"/>
      <c r="G33" s="24" t="str">
        <f t="shared" si="0"/>
        <v/>
      </c>
      <c r="H33" s="18"/>
      <c r="I33" s="39"/>
      <c r="J33" s="18"/>
      <c r="K33" s="18"/>
      <c r="L33" s="18"/>
      <c r="M33" s="18"/>
      <c r="N33" s="43" t="str">
        <f>IF(COUNTA(B33)&gt;0,C5,"")</f>
        <v/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7"/>
      <c r="AC33" s="18"/>
      <c r="AD33" s="18"/>
      <c r="AE33" s="18"/>
      <c r="AF33" s="18"/>
      <c r="AG33" s="39"/>
      <c r="AH33" s="18"/>
      <c r="AI33" s="18"/>
      <c r="AJ33" s="18"/>
      <c r="AK33" s="18"/>
      <c r="AL33" s="18"/>
      <c r="AM33" s="17"/>
      <c r="AO33" t="str">
        <f t="shared" si="1"/>
        <v/>
      </c>
    </row>
    <row r="34" spans="1:41" ht="15" x14ac:dyDescent="0.2">
      <c r="A34" s="41" t="str">
        <f>IF(COUNTA(B34)&gt;0,26,"")</f>
        <v/>
      </c>
      <c r="B34" s="18"/>
      <c r="C34" s="18"/>
      <c r="D34" s="18"/>
      <c r="E34" s="18"/>
      <c r="F34" s="18"/>
      <c r="G34" s="24" t="str">
        <f t="shared" si="0"/>
        <v/>
      </c>
      <c r="H34" s="18"/>
      <c r="I34" s="39"/>
      <c r="J34" s="18"/>
      <c r="K34" s="18"/>
      <c r="L34" s="18"/>
      <c r="M34" s="18"/>
      <c r="N34" s="43" t="str">
        <f>IF(COUNTA(B34)&gt;0,C5,"")</f>
        <v/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7"/>
      <c r="AC34" s="18"/>
      <c r="AD34" s="18"/>
      <c r="AE34" s="18"/>
      <c r="AF34" s="18"/>
      <c r="AG34" s="39"/>
      <c r="AH34" s="18"/>
      <c r="AI34" s="18"/>
      <c r="AJ34" s="18"/>
      <c r="AK34" s="18"/>
      <c r="AL34" s="18"/>
      <c r="AM34" s="17"/>
      <c r="AO34" t="str">
        <f t="shared" si="1"/>
        <v/>
      </c>
    </row>
    <row r="35" spans="1:41" ht="15" x14ac:dyDescent="0.2">
      <c r="A35" s="41" t="str">
        <f>IF(COUNTA(B35)&gt;0,27,"")</f>
        <v/>
      </c>
      <c r="B35" s="18"/>
      <c r="C35" s="18"/>
      <c r="D35" s="18"/>
      <c r="E35" s="18"/>
      <c r="F35" s="18"/>
      <c r="G35" s="24" t="str">
        <f t="shared" si="0"/>
        <v/>
      </c>
      <c r="H35" s="18"/>
      <c r="I35" s="39"/>
      <c r="J35" s="18"/>
      <c r="K35" s="18"/>
      <c r="L35" s="18"/>
      <c r="M35" s="18"/>
      <c r="N35" s="43" t="str">
        <f>IF(COUNTA(B35)&gt;0,C5,"")</f>
        <v/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7"/>
      <c r="AC35" s="18"/>
      <c r="AD35" s="18"/>
      <c r="AE35" s="18"/>
      <c r="AF35" s="18"/>
      <c r="AG35" s="39"/>
      <c r="AH35" s="18"/>
      <c r="AI35" s="18"/>
      <c r="AJ35" s="18"/>
      <c r="AK35" s="18"/>
      <c r="AL35" s="18"/>
      <c r="AM35" s="17"/>
      <c r="AO35" t="str">
        <f t="shared" si="1"/>
        <v/>
      </c>
    </row>
    <row r="36" spans="1:41" ht="15" x14ac:dyDescent="0.2">
      <c r="A36" s="41" t="str">
        <f>IF(COUNTA(B36)&gt;0,28,"")</f>
        <v/>
      </c>
      <c r="B36" s="18"/>
      <c r="C36" s="18"/>
      <c r="D36" s="18"/>
      <c r="E36" s="18"/>
      <c r="F36" s="18"/>
      <c r="G36" s="24" t="str">
        <f t="shared" si="0"/>
        <v/>
      </c>
      <c r="H36" s="18"/>
      <c r="I36" s="39"/>
      <c r="J36" s="18"/>
      <c r="K36" s="18"/>
      <c r="L36" s="18"/>
      <c r="M36" s="18"/>
      <c r="N36" s="43" t="str">
        <f>IF(COUNTA(B36)&gt;0,C5,"")</f>
        <v/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7"/>
      <c r="AC36" s="18"/>
      <c r="AD36" s="18"/>
      <c r="AE36" s="18"/>
      <c r="AF36" s="18"/>
      <c r="AG36" s="39"/>
      <c r="AH36" s="18"/>
      <c r="AI36" s="18"/>
      <c r="AJ36" s="18"/>
      <c r="AK36" s="18"/>
      <c r="AL36" s="18"/>
      <c r="AM36" s="17"/>
      <c r="AO36" t="str">
        <f t="shared" si="1"/>
        <v/>
      </c>
    </row>
    <row r="37" spans="1:41" ht="15" x14ac:dyDescent="0.2">
      <c r="A37" s="41" t="str">
        <f>IF(COUNTA(B37)&gt;0,29,"")</f>
        <v/>
      </c>
      <c r="B37" s="18"/>
      <c r="C37" s="18"/>
      <c r="D37" s="18"/>
      <c r="E37" s="18"/>
      <c r="F37" s="18"/>
      <c r="G37" s="24" t="str">
        <f t="shared" si="0"/>
        <v/>
      </c>
      <c r="H37" s="18"/>
      <c r="I37" s="39"/>
      <c r="J37" s="18"/>
      <c r="K37" s="18"/>
      <c r="L37" s="18"/>
      <c r="M37" s="18"/>
      <c r="N37" s="43" t="str">
        <f>IF(COUNTA(B37)&gt;0,C5,"")</f>
        <v/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7"/>
      <c r="AC37" s="18"/>
      <c r="AD37" s="18"/>
      <c r="AE37" s="18"/>
      <c r="AF37" s="18"/>
      <c r="AG37" s="39"/>
      <c r="AH37" s="18"/>
      <c r="AI37" s="18"/>
      <c r="AJ37" s="18"/>
      <c r="AK37" s="18"/>
      <c r="AL37" s="18"/>
      <c r="AM37" s="17"/>
      <c r="AO37" t="str">
        <f t="shared" si="1"/>
        <v/>
      </c>
    </row>
    <row r="38" spans="1:41" ht="15" x14ac:dyDescent="0.2">
      <c r="A38" s="41" t="str">
        <f>IF(COUNTA(B38)&gt;0,30,"")</f>
        <v/>
      </c>
      <c r="B38" s="18"/>
      <c r="C38" s="18"/>
      <c r="D38" s="18"/>
      <c r="E38" s="18"/>
      <c r="F38" s="18"/>
      <c r="G38" s="24" t="str">
        <f t="shared" si="0"/>
        <v/>
      </c>
      <c r="H38" s="18"/>
      <c r="I38" s="39"/>
      <c r="J38" s="18"/>
      <c r="K38" s="18"/>
      <c r="L38" s="18"/>
      <c r="M38" s="18"/>
      <c r="N38" s="43" t="str">
        <f>IF(COUNTA(B38)&gt;0,C5,"")</f>
        <v/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7"/>
      <c r="AC38" s="18"/>
      <c r="AD38" s="18"/>
      <c r="AE38" s="18"/>
      <c r="AF38" s="18"/>
      <c r="AG38" s="39"/>
      <c r="AH38" s="18"/>
      <c r="AI38" s="18"/>
      <c r="AJ38" s="18"/>
      <c r="AK38" s="18"/>
      <c r="AL38" s="18"/>
      <c r="AM38" s="17"/>
      <c r="AO38" t="str">
        <f t="shared" si="1"/>
        <v/>
      </c>
    </row>
    <row r="39" spans="1:41" ht="15" x14ac:dyDescent="0.2">
      <c r="A39" s="41" t="str">
        <f>IF(COUNTA(B39)&gt;0,31,"")</f>
        <v/>
      </c>
      <c r="B39" s="18"/>
      <c r="C39" s="18"/>
      <c r="D39" s="18"/>
      <c r="E39" s="18"/>
      <c r="F39" s="18"/>
      <c r="G39" s="24" t="str">
        <f t="shared" si="0"/>
        <v/>
      </c>
      <c r="H39" s="18"/>
      <c r="I39" s="39"/>
      <c r="J39" s="18"/>
      <c r="K39" s="18"/>
      <c r="L39" s="18"/>
      <c r="M39" s="18"/>
      <c r="N39" s="43" t="str">
        <f>IF(COUNTA(B39)&gt;0,C5,"")</f>
        <v/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7"/>
      <c r="AC39" s="18"/>
      <c r="AD39" s="18"/>
      <c r="AE39" s="18"/>
      <c r="AF39" s="18"/>
      <c r="AG39" s="39"/>
      <c r="AH39" s="18"/>
      <c r="AI39" s="18"/>
      <c r="AJ39" s="18"/>
      <c r="AK39" s="18"/>
      <c r="AL39" s="18"/>
      <c r="AM39" s="17"/>
      <c r="AO39" t="str">
        <f t="shared" si="1"/>
        <v/>
      </c>
    </row>
    <row r="40" spans="1:41" ht="15" x14ac:dyDescent="0.2">
      <c r="A40" s="41" t="str">
        <f>IF(COUNTA(B40)&gt;0,32,"")</f>
        <v/>
      </c>
      <c r="B40" s="18"/>
      <c r="C40" s="18"/>
      <c r="D40" s="18"/>
      <c r="E40" s="18"/>
      <c r="F40" s="18"/>
      <c r="G40" s="24" t="str">
        <f t="shared" si="0"/>
        <v/>
      </c>
      <c r="H40" s="18"/>
      <c r="I40" s="39"/>
      <c r="J40" s="18"/>
      <c r="K40" s="18"/>
      <c r="L40" s="18"/>
      <c r="M40" s="18"/>
      <c r="N40" s="43" t="str">
        <f>IF(COUNTA(B40)&gt;0,C5,"")</f>
        <v/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7"/>
      <c r="AC40" s="18"/>
      <c r="AD40" s="18"/>
      <c r="AE40" s="18"/>
      <c r="AF40" s="18"/>
      <c r="AG40" s="39"/>
      <c r="AH40" s="18"/>
      <c r="AI40" s="18"/>
      <c r="AJ40" s="18"/>
      <c r="AK40" s="18"/>
      <c r="AL40" s="18"/>
      <c r="AM40" s="17"/>
      <c r="AO40" t="str">
        <f t="shared" si="1"/>
        <v/>
      </c>
    </row>
    <row r="41" spans="1:41" ht="15" x14ac:dyDescent="0.2">
      <c r="A41" s="41" t="str">
        <f>IF(COUNTA(B41)&gt;0,33,"")</f>
        <v/>
      </c>
      <c r="B41" s="18"/>
      <c r="C41" s="18"/>
      <c r="D41" s="18"/>
      <c r="E41" s="18"/>
      <c r="F41" s="18"/>
      <c r="G41" s="24" t="str">
        <f t="shared" si="0"/>
        <v/>
      </c>
      <c r="H41" s="18"/>
      <c r="I41" s="39"/>
      <c r="J41" s="18"/>
      <c r="K41" s="18"/>
      <c r="L41" s="18"/>
      <c r="M41" s="18"/>
      <c r="N41" s="43" t="str">
        <f>IF(COUNTA(B41)&gt;0,C5,"")</f>
        <v/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7"/>
      <c r="AC41" s="18"/>
      <c r="AD41" s="18"/>
      <c r="AE41" s="18"/>
      <c r="AF41" s="18"/>
      <c r="AG41" s="39"/>
      <c r="AH41" s="18"/>
      <c r="AI41" s="18"/>
      <c r="AJ41" s="18"/>
      <c r="AK41" s="18"/>
      <c r="AL41" s="18"/>
      <c r="AM41" s="17"/>
      <c r="AO41" t="str">
        <f t="shared" si="1"/>
        <v/>
      </c>
    </row>
    <row r="42" spans="1:41" ht="15" x14ac:dyDescent="0.2">
      <c r="A42" s="41" t="str">
        <f>IF(COUNTA(B42)&gt;0,34,"")</f>
        <v/>
      </c>
      <c r="B42" s="18"/>
      <c r="C42" s="18"/>
      <c r="D42" s="18"/>
      <c r="E42" s="18"/>
      <c r="F42" s="18"/>
      <c r="G42" s="24" t="str">
        <f t="shared" si="0"/>
        <v/>
      </c>
      <c r="H42" s="18"/>
      <c r="I42" s="39"/>
      <c r="J42" s="18"/>
      <c r="K42" s="18"/>
      <c r="L42" s="18"/>
      <c r="M42" s="18"/>
      <c r="N42" s="43" t="str">
        <f>IF(COUNTA(B42)&gt;0,C5,"")</f>
        <v/>
      </c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7"/>
      <c r="AC42" s="18"/>
      <c r="AD42" s="18"/>
      <c r="AE42" s="18"/>
      <c r="AF42" s="18"/>
      <c r="AG42" s="39"/>
      <c r="AH42" s="18"/>
      <c r="AI42" s="18"/>
      <c r="AJ42" s="18"/>
      <c r="AK42" s="18"/>
      <c r="AL42" s="18"/>
      <c r="AM42" s="17"/>
      <c r="AO42" t="str">
        <f t="shared" si="1"/>
        <v/>
      </c>
    </row>
    <row r="43" spans="1:41" ht="15" x14ac:dyDescent="0.2">
      <c r="A43" s="41" t="str">
        <f>IF(COUNTA(B43)&gt;0,35,"")</f>
        <v/>
      </c>
      <c r="B43" s="18"/>
      <c r="C43" s="18"/>
      <c r="D43" s="18"/>
      <c r="E43" s="18"/>
      <c r="F43" s="18"/>
      <c r="G43" s="24" t="str">
        <f t="shared" si="0"/>
        <v/>
      </c>
      <c r="H43" s="18"/>
      <c r="I43" s="39"/>
      <c r="J43" s="18"/>
      <c r="K43" s="18"/>
      <c r="L43" s="18"/>
      <c r="M43" s="18"/>
      <c r="N43" s="43" t="str">
        <f>IF(COUNTA(B43)&gt;0,C5,"")</f>
        <v/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7"/>
      <c r="AC43" s="18"/>
      <c r="AD43" s="18"/>
      <c r="AE43" s="18"/>
      <c r="AF43" s="18"/>
      <c r="AG43" s="39"/>
      <c r="AH43" s="18"/>
      <c r="AI43" s="18"/>
      <c r="AJ43" s="18"/>
      <c r="AK43" s="18"/>
      <c r="AL43" s="18"/>
      <c r="AM43" s="17"/>
      <c r="AO43" t="str">
        <f t="shared" si="1"/>
        <v/>
      </c>
    </row>
    <row r="44" spans="1:41" ht="15" x14ac:dyDescent="0.2">
      <c r="A44" s="41" t="str">
        <f>IF(COUNTA(B44)&gt;0,36,"")</f>
        <v/>
      </c>
      <c r="B44" s="18"/>
      <c r="C44" s="18"/>
      <c r="D44" s="18"/>
      <c r="E44" s="18"/>
      <c r="F44" s="18"/>
      <c r="G44" s="24" t="str">
        <f t="shared" si="0"/>
        <v/>
      </c>
      <c r="H44" s="18"/>
      <c r="I44" s="39"/>
      <c r="J44" s="18"/>
      <c r="K44" s="18"/>
      <c r="L44" s="18"/>
      <c r="M44" s="18"/>
      <c r="N44" s="43" t="str">
        <f>IF(COUNTA(B44)&gt;0,C5,"")</f>
        <v/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7"/>
      <c r="AC44" s="18"/>
      <c r="AD44" s="18"/>
      <c r="AE44" s="18"/>
      <c r="AF44" s="18"/>
      <c r="AG44" s="39"/>
      <c r="AH44" s="18"/>
      <c r="AI44" s="18"/>
      <c r="AJ44" s="18"/>
      <c r="AK44" s="18"/>
      <c r="AL44" s="18"/>
      <c r="AM44" s="17"/>
      <c r="AO44" t="str">
        <f t="shared" si="1"/>
        <v/>
      </c>
    </row>
    <row r="45" spans="1:41" ht="15" x14ac:dyDescent="0.2">
      <c r="A45" s="41" t="str">
        <f>IF(COUNTA(B45)&gt;0,37,"")</f>
        <v/>
      </c>
      <c r="B45" s="18"/>
      <c r="C45" s="18"/>
      <c r="D45" s="18"/>
      <c r="E45" s="18"/>
      <c r="F45" s="18"/>
      <c r="G45" s="24" t="str">
        <f t="shared" si="0"/>
        <v/>
      </c>
      <c r="H45" s="18"/>
      <c r="I45" s="39"/>
      <c r="J45" s="18"/>
      <c r="K45" s="18"/>
      <c r="L45" s="18"/>
      <c r="M45" s="18"/>
      <c r="N45" s="43" t="str">
        <f>IF(COUNTA(B45)&gt;0,C5,"")</f>
        <v/>
      </c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7"/>
      <c r="AC45" s="18"/>
      <c r="AD45" s="18"/>
      <c r="AE45" s="18"/>
      <c r="AF45" s="18"/>
      <c r="AG45" s="39"/>
      <c r="AH45" s="18"/>
      <c r="AI45" s="18"/>
      <c r="AJ45" s="18"/>
      <c r="AK45" s="18"/>
      <c r="AL45" s="18"/>
      <c r="AM45" s="17"/>
      <c r="AO45" t="str">
        <f t="shared" si="1"/>
        <v/>
      </c>
    </row>
    <row r="46" spans="1:41" ht="15" x14ac:dyDescent="0.2">
      <c r="A46" s="41" t="str">
        <f>IF(COUNTA(B46)&gt;0,38,"")</f>
        <v/>
      </c>
      <c r="B46" s="18"/>
      <c r="C46" s="18"/>
      <c r="D46" s="18"/>
      <c r="E46" s="18"/>
      <c r="F46" s="18"/>
      <c r="G46" s="24" t="str">
        <f t="shared" si="0"/>
        <v/>
      </c>
      <c r="H46" s="18"/>
      <c r="I46" s="39"/>
      <c r="J46" s="18"/>
      <c r="K46" s="18"/>
      <c r="L46" s="18"/>
      <c r="M46" s="18"/>
      <c r="N46" s="43" t="str">
        <f>IF(COUNTA(B46)&gt;0,C5,"")</f>
        <v/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7"/>
      <c r="AC46" s="18"/>
      <c r="AD46" s="18"/>
      <c r="AE46" s="18"/>
      <c r="AF46" s="18"/>
      <c r="AG46" s="39"/>
      <c r="AH46" s="18"/>
      <c r="AI46" s="18"/>
      <c r="AJ46" s="18"/>
      <c r="AK46" s="18"/>
      <c r="AL46" s="18"/>
      <c r="AM46" s="17"/>
      <c r="AO46" t="str">
        <f t="shared" si="1"/>
        <v/>
      </c>
    </row>
    <row r="47" spans="1:41" ht="15" x14ac:dyDescent="0.2">
      <c r="A47" s="41" t="str">
        <f>IF(COUNTA(B47)&gt;0,39,"")</f>
        <v/>
      </c>
      <c r="B47" s="18"/>
      <c r="C47" s="18"/>
      <c r="D47" s="18"/>
      <c r="E47" s="18"/>
      <c r="F47" s="18"/>
      <c r="G47" s="24" t="str">
        <f t="shared" si="0"/>
        <v/>
      </c>
      <c r="H47" s="18"/>
      <c r="I47" s="39"/>
      <c r="J47" s="18"/>
      <c r="K47" s="18"/>
      <c r="L47" s="18"/>
      <c r="M47" s="18"/>
      <c r="N47" s="43" t="str">
        <f>IF(COUNTA(B47)&gt;0,C5,"")</f>
        <v/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7"/>
      <c r="AC47" s="18"/>
      <c r="AD47" s="18"/>
      <c r="AE47" s="18"/>
      <c r="AF47" s="18"/>
      <c r="AG47" s="39"/>
      <c r="AH47" s="18"/>
      <c r="AI47" s="18"/>
      <c r="AJ47" s="18"/>
      <c r="AK47" s="18"/>
      <c r="AL47" s="18"/>
      <c r="AM47" s="17"/>
      <c r="AO47" t="str">
        <f t="shared" si="1"/>
        <v/>
      </c>
    </row>
    <row r="48" spans="1:41" ht="15" x14ac:dyDescent="0.2">
      <c r="A48" s="41" t="str">
        <f>IF(COUNTA(B48)&gt;0,40,"")</f>
        <v/>
      </c>
      <c r="B48" s="18"/>
      <c r="C48" s="18"/>
      <c r="D48" s="18"/>
      <c r="E48" s="18"/>
      <c r="F48" s="18"/>
      <c r="G48" s="24" t="str">
        <f t="shared" si="0"/>
        <v/>
      </c>
      <c r="H48" s="18"/>
      <c r="I48" s="39"/>
      <c r="J48" s="18"/>
      <c r="K48" s="18"/>
      <c r="L48" s="18"/>
      <c r="M48" s="18"/>
      <c r="N48" s="43" t="str">
        <f>IF(COUNTA(B48)&gt;0,C5,"")</f>
        <v/>
      </c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7"/>
      <c r="AC48" s="18"/>
      <c r="AD48" s="18"/>
      <c r="AE48" s="18"/>
      <c r="AF48" s="18"/>
      <c r="AG48" s="39"/>
      <c r="AH48" s="18"/>
      <c r="AI48" s="18"/>
      <c r="AJ48" s="18"/>
      <c r="AK48" s="18"/>
      <c r="AL48" s="18"/>
      <c r="AM48" s="17"/>
      <c r="AO48" t="str">
        <f t="shared" si="1"/>
        <v/>
      </c>
    </row>
    <row r="49" spans="1:41" ht="15" x14ac:dyDescent="0.2">
      <c r="A49" s="41" t="str">
        <f>IF(COUNTA(B49)&gt;0,41,"")</f>
        <v/>
      </c>
      <c r="B49" s="18"/>
      <c r="C49" s="18"/>
      <c r="D49" s="18"/>
      <c r="E49" s="18"/>
      <c r="F49" s="18"/>
      <c r="G49" s="24" t="str">
        <f t="shared" si="0"/>
        <v/>
      </c>
      <c r="H49" s="18"/>
      <c r="I49" s="39"/>
      <c r="J49" s="18"/>
      <c r="K49" s="18"/>
      <c r="L49" s="18"/>
      <c r="M49" s="18"/>
      <c r="N49" s="43" t="str">
        <f>IF(COUNTA(B49)&gt;0,C5,"")</f>
        <v/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7"/>
      <c r="AC49" s="18"/>
      <c r="AD49" s="18"/>
      <c r="AE49" s="18"/>
      <c r="AF49" s="18"/>
      <c r="AG49" s="39"/>
      <c r="AH49" s="18"/>
      <c r="AI49" s="18"/>
      <c r="AJ49" s="18"/>
      <c r="AK49" s="18"/>
      <c r="AL49" s="18"/>
      <c r="AM49" s="17"/>
      <c r="AO49" t="str">
        <f t="shared" si="1"/>
        <v/>
      </c>
    </row>
    <row r="50" spans="1:41" ht="15" x14ac:dyDescent="0.2">
      <c r="A50" s="41" t="str">
        <f>IF(COUNTA(B50)&gt;0,42,"")</f>
        <v/>
      </c>
      <c r="B50" s="18"/>
      <c r="C50" s="18"/>
      <c r="D50" s="18"/>
      <c r="E50" s="18"/>
      <c r="F50" s="18"/>
      <c r="G50" s="24" t="str">
        <f t="shared" si="0"/>
        <v/>
      </c>
      <c r="H50" s="18"/>
      <c r="I50" s="39"/>
      <c r="J50" s="18"/>
      <c r="K50" s="18"/>
      <c r="L50" s="18"/>
      <c r="M50" s="18"/>
      <c r="N50" s="43" t="str">
        <f>IF(COUNTA(B50)&gt;0,C5,"")</f>
        <v/>
      </c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7"/>
      <c r="AC50" s="18"/>
      <c r="AD50" s="18"/>
      <c r="AE50" s="18"/>
      <c r="AF50" s="18"/>
      <c r="AG50" s="39"/>
      <c r="AH50" s="18"/>
      <c r="AI50" s="18"/>
      <c r="AJ50" s="18"/>
      <c r="AK50" s="18"/>
      <c r="AL50" s="18"/>
      <c r="AM50" s="17"/>
      <c r="AO50" t="str">
        <f t="shared" si="1"/>
        <v/>
      </c>
    </row>
    <row r="51" spans="1:41" ht="15" x14ac:dyDescent="0.2">
      <c r="A51" s="41" t="str">
        <f>IF(COUNTA(B51)&gt;0,43,"")</f>
        <v/>
      </c>
      <c r="B51" s="18"/>
      <c r="C51" s="18"/>
      <c r="D51" s="18"/>
      <c r="E51" s="18"/>
      <c r="F51" s="18"/>
      <c r="G51" s="24" t="str">
        <f t="shared" si="0"/>
        <v/>
      </c>
      <c r="H51" s="18"/>
      <c r="I51" s="39"/>
      <c r="J51" s="18"/>
      <c r="K51" s="18"/>
      <c r="L51" s="18"/>
      <c r="M51" s="18"/>
      <c r="N51" s="43" t="str">
        <f>IF(COUNTA(B51)&gt;0,C5,"")</f>
        <v/>
      </c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39"/>
      <c r="AH51" s="18"/>
      <c r="AI51" s="18"/>
      <c r="AJ51" s="18"/>
      <c r="AK51" s="18"/>
      <c r="AL51" s="18"/>
      <c r="AM51" s="17"/>
      <c r="AO51" t="str">
        <f t="shared" si="1"/>
        <v/>
      </c>
    </row>
    <row r="52" spans="1:41" ht="15" x14ac:dyDescent="0.2">
      <c r="A52" s="41" t="str">
        <f>IF(COUNTA(B52)&gt;0,44,"")</f>
        <v/>
      </c>
      <c r="B52" s="18"/>
      <c r="C52" s="18"/>
      <c r="D52" s="18"/>
      <c r="E52" s="18"/>
      <c r="F52" s="18"/>
      <c r="G52" s="24" t="str">
        <f t="shared" si="0"/>
        <v/>
      </c>
      <c r="H52" s="18"/>
      <c r="I52" s="39"/>
      <c r="J52" s="18"/>
      <c r="K52" s="18"/>
      <c r="L52" s="18"/>
      <c r="M52" s="18"/>
      <c r="N52" s="43" t="str">
        <f>IF(COUNTA(B52)&gt;0,C5,"")</f>
        <v/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7"/>
      <c r="AC52" s="18"/>
      <c r="AD52" s="18"/>
      <c r="AE52" s="18"/>
      <c r="AF52" s="18"/>
      <c r="AG52" s="39"/>
      <c r="AH52" s="18"/>
      <c r="AI52" s="18"/>
      <c r="AJ52" s="18"/>
      <c r="AK52" s="18"/>
      <c r="AL52" s="18"/>
      <c r="AM52" s="17"/>
      <c r="AO52" t="str">
        <f t="shared" si="1"/>
        <v/>
      </c>
    </row>
    <row r="53" spans="1:41" ht="15" x14ac:dyDescent="0.2">
      <c r="A53" s="41" t="str">
        <f>IF(COUNTA(B53)&gt;0,45,"")</f>
        <v/>
      </c>
      <c r="B53" s="18"/>
      <c r="C53" s="18"/>
      <c r="D53" s="18"/>
      <c r="E53" s="18"/>
      <c r="F53" s="18"/>
      <c r="G53" s="24" t="str">
        <f t="shared" si="0"/>
        <v/>
      </c>
      <c r="H53" s="18"/>
      <c r="I53" s="39"/>
      <c r="J53" s="18"/>
      <c r="K53" s="18"/>
      <c r="L53" s="18"/>
      <c r="M53" s="18"/>
      <c r="N53" s="43" t="str">
        <f>IF(COUNTA(B53)&gt;0,C5,"")</f>
        <v/>
      </c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7"/>
      <c r="AC53" s="18"/>
      <c r="AD53" s="18"/>
      <c r="AE53" s="18"/>
      <c r="AF53" s="18"/>
      <c r="AG53" s="39"/>
      <c r="AH53" s="18"/>
      <c r="AI53" s="18"/>
      <c r="AJ53" s="18"/>
      <c r="AK53" s="18"/>
      <c r="AL53" s="18"/>
      <c r="AM53" s="17"/>
      <c r="AO53" t="str">
        <f t="shared" si="1"/>
        <v/>
      </c>
    </row>
    <row r="54" spans="1:41" ht="15" x14ac:dyDescent="0.2">
      <c r="A54" s="41" t="str">
        <f>IF(COUNTA(B54)&gt;0,46,"")</f>
        <v/>
      </c>
      <c r="B54" s="18"/>
      <c r="C54" s="18"/>
      <c r="D54" s="18"/>
      <c r="E54" s="18"/>
      <c r="F54" s="18"/>
      <c r="G54" s="24" t="str">
        <f t="shared" si="0"/>
        <v/>
      </c>
      <c r="H54" s="18"/>
      <c r="I54" s="39"/>
      <c r="J54" s="18"/>
      <c r="K54" s="18"/>
      <c r="L54" s="18"/>
      <c r="M54" s="18"/>
      <c r="N54" s="43" t="str">
        <f>IF(COUNTA(B54)&gt;0,C5,"")</f>
        <v/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7"/>
      <c r="AC54" s="18"/>
      <c r="AD54" s="18"/>
      <c r="AE54" s="18"/>
      <c r="AF54" s="18"/>
      <c r="AG54" s="39"/>
      <c r="AH54" s="18"/>
      <c r="AI54" s="18"/>
      <c r="AJ54" s="18"/>
      <c r="AK54" s="18"/>
      <c r="AL54" s="18"/>
      <c r="AM54" s="17"/>
      <c r="AO54" t="str">
        <f t="shared" si="1"/>
        <v/>
      </c>
    </row>
    <row r="55" spans="1:41" ht="15" x14ac:dyDescent="0.2">
      <c r="A55" s="41" t="str">
        <f>IF(COUNTA(B55)&gt;0,47,"")</f>
        <v/>
      </c>
      <c r="B55" s="18"/>
      <c r="C55" s="18"/>
      <c r="D55" s="18"/>
      <c r="E55" s="18"/>
      <c r="F55" s="18"/>
      <c r="G55" s="24" t="str">
        <f t="shared" si="0"/>
        <v/>
      </c>
      <c r="H55" s="18"/>
      <c r="I55" s="39"/>
      <c r="J55" s="18"/>
      <c r="K55" s="18"/>
      <c r="L55" s="18"/>
      <c r="M55" s="18"/>
      <c r="N55" s="43" t="str">
        <f>IF(COUNTA(B55)&gt;0,C5,"")</f>
        <v/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7"/>
      <c r="AC55" s="18"/>
      <c r="AD55" s="18"/>
      <c r="AE55" s="18"/>
      <c r="AF55" s="18"/>
      <c r="AG55" s="39"/>
      <c r="AH55" s="18"/>
      <c r="AI55" s="18"/>
      <c r="AJ55" s="18"/>
      <c r="AK55" s="18"/>
      <c r="AL55" s="18"/>
      <c r="AM55" s="17"/>
      <c r="AO55" t="str">
        <f t="shared" si="1"/>
        <v/>
      </c>
    </row>
    <row r="56" spans="1:41" ht="15" x14ac:dyDescent="0.2">
      <c r="A56" s="41" t="str">
        <f>IF(COUNTA(B56)&gt;0,48,"")</f>
        <v/>
      </c>
      <c r="B56" s="18"/>
      <c r="C56" s="18"/>
      <c r="D56" s="18"/>
      <c r="E56" s="18"/>
      <c r="F56" s="18"/>
      <c r="G56" s="24" t="str">
        <f t="shared" si="0"/>
        <v/>
      </c>
      <c r="H56" s="18"/>
      <c r="I56" s="39"/>
      <c r="J56" s="18"/>
      <c r="K56" s="18"/>
      <c r="L56" s="18"/>
      <c r="M56" s="18"/>
      <c r="N56" s="43" t="str">
        <f>IF(COUNTA(B56)&gt;0,C5,"")</f>
        <v/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7"/>
      <c r="AC56" s="18"/>
      <c r="AD56" s="18"/>
      <c r="AE56" s="18"/>
      <c r="AF56" s="18"/>
      <c r="AG56" s="39"/>
      <c r="AH56" s="18"/>
      <c r="AI56" s="18"/>
      <c r="AJ56" s="18"/>
      <c r="AK56" s="18"/>
      <c r="AL56" s="18"/>
      <c r="AM56" s="17"/>
      <c r="AO56" t="str">
        <f t="shared" si="1"/>
        <v/>
      </c>
    </row>
    <row r="57" spans="1:41" ht="15" x14ac:dyDescent="0.2">
      <c r="A57" s="41" t="str">
        <f>IF(COUNTA(B57)&gt;0,49,"")</f>
        <v/>
      </c>
      <c r="B57" s="18"/>
      <c r="C57" s="18"/>
      <c r="D57" s="18"/>
      <c r="E57" s="18"/>
      <c r="F57" s="18"/>
      <c r="G57" s="24" t="str">
        <f t="shared" si="0"/>
        <v/>
      </c>
      <c r="H57" s="18"/>
      <c r="I57" s="39"/>
      <c r="J57" s="18"/>
      <c r="K57" s="18"/>
      <c r="L57" s="18"/>
      <c r="M57" s="18"/>
      <c r="N57" s="43" t="str">
        <f>IF(COUNTA(B57)&gt;0,C5,"")</f>
        <v/>
      </c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7"/>
      <c r="AC57" s="18"/>
      <c r="AD57" s="18"/>
      <c r="AE57" s="18"/>
      <c r="AF57" s="18"/>
      <c r="AG57" s="39"/>
      <c r="AH57" s="18"/>
      <c r="AI57" s="18"/>
      <c r="AJ57" s="18"/>
      <c r="AK57" s="18"/>
      <c r="AL57" s="18"/>
      <c r="AM57" s="17"/>
      <c r="AO57" t="str">
        <f t="shared" si="1"/>
        <v/>
      </c>
    </row>
    <row r="58" spans="1:41" ht="15" x14ac:dyDescent="0.2">
      <c r="A58" s="41" t="str">
        <f>IF(COUNTA(B58)&gt;0,50,"")</f>
        <v/>
      </c>
      <c r="B58" s="18"/>
      <c r="C58" s="18"/>
      <c r="D58" s="18"/>
      <c r="E58" s="18"/>
      <c r="F58" s="18"/>
      <c r="G58" s="24" t="str">
        <f t="shared" si="0"/>
        <v/>
      </c>
      <c r="H58" s="18"/>
      <c r="I58" s="39"/>
      <c r="J58" s="18"/>
      <c r="K58" s="18"/>
      <c r="L58" s="18"/>
      <c r="M58" s="18"/>
      <c r="N58" s="43" t="str">
        <f>IF(COUNTA(B58)&gt;0,C5,"")</f>
        <v/>
      </c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7"/>
      <c r="AC58" s="18"/>
      <c r="AD58" s="18"/>
      <c r="AE58" s="18"/>
      <c r="AF58" s="18"/>
      <c r="AG58" s="39"/>
      <c r="AH58" s="18"/>
      <c r="AI58" s="18"/>
      <c r="AJ58" s="18"/>
      <c r="AK58" s="18"/>
      <c r="AL58" s="18"/>
      <c r="AM58" s="17"/>
      <c r="AO58" t="str">
        <f t="shared" si="1"/>
        <v/>
      </c>
    </row>
    <row r="59" spans="1:41" ht="15" x14ac:dyDescent="0.2">
      <c r="A59" s="41" t="str">
        <f>IF(COUNTA(B59)&gt;0,51,"")</f>
        <v/>
      </c>
      <c r="B59" s="18"/>
      <c r="C59" s="18"/>
      <c r="D59" s="18"/>
      <c r="E59" s="18"/>
      <c r="F59" s="18"/>
      <c r="G59" s="24" t="str">
        <f t="shared" si="0"/>
        <v/>
      </c>
      <c r="H59" s="18"/>
      <c r="I59" s="39"/>
      <c r="J59" s="18"/>
      <c r="K59" s="18"/>
      <c r="L59" s="18"/>
      <c r="M59" s="18"/>
      <c r="N59" s="43" t="str">
        <f>IF(COUNTA(B59)&gt;0,C5,"")</f>
        <v/>
      </c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7"/>
      <c r="AC59" s="18"/>
      <c r="AD59" s="18"/>
      <c r="AE59" s="18"/>
      <c r="AF59" s="18"/>
      <c r="AG59" s="39"/>
      <c r="AH59" s="18"/>
      <c r="AI59" s="18"/>
      <c r="AJ59" s="18"/>
      <c r="AK59" s="18"/>
      <c r="AL59" s="18"/>
      <c r="AM59" s="17"/>
      <c r="AO59" t="str">
        <f t="shared" si="1"/>
        <v/>
      </c>
    </row>
    <row r="60" spans="1:41" ht="15" x14ac:dyDescent="0.2">
      <c r="A60" s="41" t="str">
        <f>IF(COUNTA(B60)&gt;0,52,"")</f>
        <v/>
      </c>
      <c r="B60" s="18"/>
      <c r="C60" s="18"/>
      <c r="D60" s="18"/>
      <c r="E60" s="18"/>
      <c r="F60" s="18"/>
      <c r="G60" s="24" t="str">
        <f t="shared" si="0"/>
        <v/>
      </c>
      <c r="H60" s="18"/>
      <c r="I60" s="39"/>
      <c r="J60" s="18"/>
      <c r="K60" s="18"/>
      <c r="L60" s="18"/>
      <c r="M60" s="18"/>
      <c r="N60" s="43" t="str">
        <f>IF(COUNTA(B60)&gt;0,C5,"")</f>
        <v/>
      </c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7"/>
      <c r="AC60" s="18"/>
      <c r="AD60" s="18"/>
      <c r="AE60" s="18"/>
      <c r="AF60" s="18"/>
      <c r="AG60" s="39"/>
      <c r="AH60" s="18"/>
      <c r="AI60" s="18"/>
      <c r="AJ60" s="18"/>
      <c r="AK60" s="18"/>
      <c r="AL60" s="18"/>
      <c r="AM60" s="17"/>
      <c r="AO60" t="str">
        <f t="shared" si="1"/>
        <v/>
      </c>
    </row>
    <row r="61" spans="1:41" ht="15" x14ac:dyDescent="0.2">
      <c r="A61" s="41" t="str">
        <f>IF(COUNTA(B61)&gt;0,53,"")</f>
        <v/>
      </c>
      <c r="B61" s="18"/>
      <c r="C61" s="18"/>
      <c r="D61" s="18"/>
      <c r="E61" s="18"/>
      <c r="F61" s="18"/>
      <c r="G61" s="24" t="str">
        <f t="shared" si="0"/>
        <v/>
      </c>
      <c r="H61" s="18"/>
      <c r="I61" s="39"/>
      <c r="J61" s="18"/>
      <c r="K61" s="18"/>
      <c r="L61" s="18"/>
      <c r="M61" s="18"/>
      <c r="N61" s="43" t="str">
        <f>IF(COUNTA(B61)&gt;0,C5,"")</f>
        <v/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7"/>
      <c r="AC61" s="18"/>
      <c r="AD61" s="18"/>
      <c r="AE61" s="18"/>
      <c r="AF61" s="18"/>
      <c r="AG61" s="39"/>
      <c r="AH61" s="18"/>
      <c r="AI61" s="18"/>
      <c r="AJ61" s="18"/>
      <c r="AK61" s="18"/>
      <c r="AL61" s="18"/>
      <c r="AM61" s="17"/>
      <c r="AO61" t="str">
        <f t="shared" si="1"/>
        <v/>
      </c>
    </row>
    <row r="62" spans="1:41" ht="15" x14ac:dyDescent="0.2">
      <c r="A62" s="41" t="str">
        <f>IF(COUNTA(B62)&gt;0,54,"")</f>
        <v/>
      </c>
      <c r="B62" s="18"/>
      <c r="C62" s="18"/>
      <c r="D62" s="18"/>
      <c r="E62" s="18"/>
      <c r="F62" s="18"/>
      <c r="G62" s="24" t="str">
        <f t="shared" si="0"/>
        <v/>
      </c>
      <c r="H62" s="18"/>
      <c r="I62" s="39"/>
      <c r="J62" s="18"/>
      <c r="K62" s="18"/>
      <c r="L62" s="18"/>
      <c r="M62" s="18"/>
      <c r="N62" s="43" t="str">
        <f>IF(COUNTA(B62)&gt;0,C5,"")</f>
        <v/>
      </c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7"/>
      <c r="AC62" s="18"/>
      <c r="AD62" s="18"/>
      <c r="AE62" s="18"/>
      <c r="AF62" s="18"/>
      <c r="AG62" s="39"/>
      <c r="AH62" s="18"/>
      <c r="AI62" s="18"/>
      <c r="AJ62" s="18"/>
      <c r="AK62" s="18"/>
      <c r="AL62" s="18"/>
      <c r="AM62" s="17"/>
      <c r="AO62" t="str">
        <f t="shared" si="1"/>
        <v/>
      </c>
    </row>
    <row r="63" spans="1:41" ht="15" x14ac:dyDescent="0.2">
      <c r="A63" s="41" t="str">
        <f>IF(COUNTA(B63)&gt;0,55,"")</f>
        <v/>
      </c>
      <c r="B63" s="18"/>
      <c r="C63" s="18"/>
      <c r="D63" s="18"/>
      <c r="E63" s="18"/>
      <c r="F63" s="18"/>
      <c r="G63" s="24" t="str">
        <f t="shared" si="0"/>
        <v/>
      </c>
      <c r="H63" s="18"/>
      <c r="I63" s="39"/>
      <c r="J63" s="18"/>
      <c r="K63" s="18"/>
      <c r="L63" s="18"/>
      <c r="M63" s="18"/>
      <c r="N63" s="43" t="str">
        <f>IF(COUNTA(B63)&gt;0,C5,"")</f>
        <v/>
      </c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7"/>
      <c r="AC63" s="18"/>
      <c r="AD63" s="18"/>
      <c r="AE63" s="18"/>
      <c r="AF63" s="18"/>
      <c r="AG63" s="39"/>
      <c r="AH63" s="18"/>
      <c r="AI63" s="18"/>
      <c r="AJ63" s="18"/>
      <c r="AK63" s="18"/>
      <c r="AL63" s="18"/>
      <c r="AM63" s="17"/>
      <c r="AO63" t="str">
        <f t="shared" si="1"/>
        <v/>
      </c>
    </row>
    <row r="64" spans="1:41" ht="15" x14ac:dyDescent="0.2">
      <c r="A64" s="41" t="str">
        <f>IF(COUNTA(B64)&gt;0,56,"")</f>
        <v/>
      </c>
      <c r="B64" s="18"/>
      <c r="C64" s="18"/>
      <c r="D64" s="18"/>
      <c r="E64" s="18"/>
      <c r="F64" s="18"/>
      <c r="G64" s="24" t="str">
        <f t="shared" si="0"/>
        <v/>
      </c>
      <c r="H64" s="18"/>
      <c r="I64" s="39"/>
      <c r="J64" s="18"/>
      <c r="K64" s="18"/>
      <c r="L64" s="18"/>
      <c r="M64" s="18"/>
      <c r="N64" s="43" t="str">
        <f>IF(COUNTA(B64)&gt;0,C5,"")</f>
        <v/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7"/>
      <c r="AC64" s="18"/>
      <c r="AD64" s="18"/>
      <c r="AE64" s="18"/>
      <c r="AF64" s="18"/>
      <c r="AG64" s="39"/>
      <c r="AH64" s="18"/>
      <c r="AI64" s="18"/>
      <c r="AJ64" s="18"/>
      <c r="AK64" s="18"/>
      <c r="AL64" s="18"/>
      <c r="AM64" s="17"/>
      <c r="AO64" t="str">
        <f t="shared" si="1"/>
        <v/>
      </c>
    </row>
    <row r="65" spans="1:41" ht="15" x14ac:dyDescent="0.2">
      <c r="A65" s="41" t="str">
        <f>IF(COUNTA(B65)&gt;0,57,"")</f>
        <v/>
      </c>
      <c r="B65" s="18"/>
      <c r="C65" s="18"/>
      <c r="D65" s="18"/>
      <c r="E65" s="18"/>
      <c r="F65" s="18"/>
      <c r="G65" s="24" t="str">
        <f t="shared" si="0"/>
        <v/>
      </c>
      <c r="H65" s="18"/>
      <c r="I65" s="39"/>
      <c r="J65" s="18"/>
      <c r="K65" s="18"/>
      <c r="L65" s="18"/>
      <c r="M65" s="18"/>
      <c r="N65" s="43" t="str">
        <f>IF(COUNTA(B65)&gt;0,C5,"")</f>
        <v/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7"/>
      <c r="AC65" s="18"/>
      <c r="AD65" s="18"/>
      <c r="AE65" s="18"/>
      <c r="AF65" s="18"/>
      <c r="AG65" s="39"/>
      <c r="AH65" s="18"/>
      <c r="AI65" s="18"/>
      <c r="AJ65" s="18"/>
      <c r="AK65" s="18"/>
      <c r="AL65" s="18"/>
      <c r="AM65" s="17"/>
      <c r="AO65" t="str">
        <f t="shared" si="1"/>
        <v/>
      </c>
    </row>
    <row r="66" spans="1:41" ht="15" x14ac:dyDescent="0.2">
      <c r="A66" s="41" t="str">
        <f>IF(COUNTA(B66)&gt;0,58,"")</f>
        <v/>
      </c>
      <c r="B66" s="18"/>
      <c r="C66" s="18"/>
      <c r="D66" s="18"/>
      <c r="E66" s="18"/>
      <c r="F66" s="18"/>
      <c r="G66" s="24" t="str">
        <f t="shared" si="0"/>
        <v/>
      </c>
      <c r="H66" s="18"/>
      <c r="I66" s="39"/>
      <c r="J66" s="18"/>
      <c r="K66" s="18"/>
      <c r="L66" s="18"/>
      <c r="M66" s="18"/>
      <c r="N66" s="43" t="str">
        <f>IF(COUNTA(B66)&gt;0,C5,"")</f>
        <v/>
      </c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7"/>
      <c r="AC66" s="18"/>
      <c r="AD66" s="18"/>
      <c r="AE66" s="18"/>
      <c r="AF66" s="18"/>
      <c r="AG66" s="39"/>
      <c r="AH66" s="18"/>
      <c r="AI66" s="18"/>
      <c r="AJ66" s="18"/>
      <c r="AK66" s="18"/>
      <c r="AL66" s="18"/>
      <c r="AM66" s="17"/>
      <c r="AO66" t="str">
        <f t="shared" si="1"/>
        <v/>
      </c>
    </row>
    <row r="67" spans="1:41" ht="15" x14ac:dyDescent="0.2">
      <c r="A67" s="41" t="str">
        <f>IF(COUNTA(B67)&gt;0,59,"")</f>
        <v/>
      </c>
      <c r="B67" s="18"/>
      <c r="C67" s="18"/>
      <c r="D67" s="18"/>
      <c r="E67" s="18"/>
      <c r="F67" s="18"/>
      <c r="G67" s="24" t="str">
        <f t="shared" si="0"/>
        <v/>
      </c>
      <c r="H67" s="18"/>
      <c r="I67" s="39"/>
      <c r="J67" s="18"/>
      <c r="K67" s="18"/>
      <c r="L67" s="18"/>
      <c r="M67" s="18"/>
      <c r="N67" s="43" t="str">
        <f>IF(COUNTA(B67)&gt;0,C5,"")</f>
        <v/>
      </c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7"/>
      <c r="AC67" s="18"/>
      <c r="AD67" s="18"/>
      <c r="AE67" s="18"/>
      <c r="AF67" s="18"/>
      <c r="AG67" s="39"/>
      <c r="AH67" s="18"/>
      <c r="AI67" s="18"/>
      <c r="AJ67" s="18"/>
      <c r="AK67" s="18"/>
      <c r="AL67" s="18"/>
      <c r="AM67" s="17"/>
      <c r="AO67" t="str">
        <f t="shared" si="1"/>
        <v/>
      </c>
    </row>
    <row r="68" spans="1:41" ht="15" x14ac:dyDescent="0.2">
      <c r="A68" s="41" t="str">
        <f>IF(COUNTA(B68)&gt;0,60,"")</f>
        <v/>
      </c>
      <c r="B68" s="18"/>
      <c r="C68" s="18"/>
      <c r="D68" s="18"/>
      <c r="E68" s="18"/>
      <c r="F68" s="18"/>
      <c r="G68" s="24" t="str">
        <f t="shared" si="0"/>
        <v/>
      </c>
      <c r="H68" s="18"/>
      <c r="I68" s="39"/>
      <c r="J68" s="18"/>
      <c r="K68" s="18"/>
      <c r="L68" s="18"/>
      <c r="M68" s="18"/>
      <c r="N68" s="43" t="str">
        <f>IF(COUNTA(B68)&gt;0,C5,"")</f>
        <v/>
      </c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7"/>
      <c r="AC68" s="18"/>
      <c r="AD68" s="18"/>
      <c r="AE68" s="18"/>
      <c r="AF68" s="18"/>
      <c r="AG68" s="39"/>
      <c r="AH68" s="18"/>
      <c r="AI68" s="18"/>
      <c r="AJ68" s="18"/>
      <c r="AK68" s="18"/>
      <c r="AL68" s="18"/>
      <c r="AM68" s="17"/>
      <c r="AO68" t="str">
        <f t="shared" si="1"/>
        <v/>
      </c>
    </row>
    <row r="69" spans="1:41" ht="15" x14ac:dyDescent="0.2">
      <c r="A69" s="41" t="str">
        <f>IF(COUNTA(B69)&gt;0,61,"")</f>
        <v/>
      </c>
      <c r="B69" s="18"/>
      <c r="C69" s="18"/>
      <c r="D69" s="18"/>
      <c r="E69" s="18"/>
      <c r="F69" s="18"/>
      <c r="G69" s="24" t="str">
        <f t="shared" si="0"/>
        <v/>
      </c>
      <c r="H69" s="18"/>
      <c r="I69" s="39"/>
      <c r="J69" s="18"/>
      <c r="K69" s="18"/>
      <c r="L69" s="18"/>
      <c r="M69" s="18"/>
      <c r="N69" s="43" t="str">
        <f>IF(COUNTA(B69)&gt;0,C5,"")</f>
        <v/>
      </c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7"/>
      <c r="AC69" s="18"/>
      <c r="AD69" s="18"/>
      <c r="AE69" s="18"/>
      <c r="AF69" s="18"/>
      <c r="AG69" s="39"/>
      <c r="AH69" s="18"/>
      <c r="AI69" s="18"/>
      <c r="AJ69" s="18"/>
      <c r="AK69" s="18"/>
      <c r="AL69" s="18"/>
      <c r="AM69" s="17"/>
      <c r="AO69" t="str">
        <f t="shared" si="1"/>
        <v/>
      </c>
    </row>
    <row r="70" spans="1:41" ht="15" x14ac:dyDescent="0.2">
      <c r="A70" s="41" t="str">
        <f>IF(COUNTA(B70)&gt;0,62,"")</f>
        <v/>
      </c>
      <c r="B70" s="18"/>
      <c r="C70" s="18"/>
      <c r="D70" s="18"/>
      <c r="E70" s="18"/>
      <c r="F70" s="18"/>
      <c r="G70" s="24" t="str">
        <f t="shared" si="0"/>
        <v/>
      </c>
      <c r="H70" s="18"/>
      <c r="I70" s="39"/>
      <c r="J70" s="18"/>
      <c r="K70" s="18"/>
      <c r="L70" s="18"/>
      <c r="M70" s="18"/>
      <c r="N70" s="43" t="str">
        <f>IF(COUNTA(B70)&gt;0,C5,"")</f>
        <v/>
      </c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7"/>
      <c r="AC70" s="18"/>
      <c r="AD70" s="18"/>
      <c r="AE70" s="18"/>
      <c r="AF70" s="18"/>
      <c r="AG70" s="39"/>
      <c r="AH70" s="18"/>
      <c r="AI70" s="18"/>
      <c r="AJ70" s="18"/>
      <c r="AK70" s="18"/>
      <c r="AL70" s="18"/>
      <c r="AM70" s="17"/>
      <c r="AO70" t="str">
        <f t="shared" si="1"/>
        <v/>
      </c>
    </row>
    <row r="71" spans="1:41" ht="15" x14ac:dyDescent="0.2">
      <c r="A71" s="41" t="str">
        <f>IF(COUNTA(B71)&gt;0,63,"")</f>
        <v/>
      </c>
      <c r="B71" s="18"/>
      <c r="C71" s="18"/>
      <c r="D71" s="18"/>
      <c r="E71" s="18"/>
      <c r="F71" s="18"/>
      <c r="G71" s="24" t="str">
        <f t="shared" si="0"/>
        <v/>
      </c>
      <c r="H71" s="18"/>
      <c r="I71" s="39"/>
      <c r="J71" s="18"/>
      <c r="K71" s="18"/>
      <c r="L71" s="18"/>
      <c r="M71" s="18"/>
      <c r="N71" s="43" t="str">
        <f>IF(COUNTA(B71)&gt;0,C5,"")</f>
        <v/>
      </c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7"/>
      <c r="AC71" s="18"/>
      <c r="AD71" s="18"/>
      <c r="AE71" s="18"/>
      <c r="AF71" s="18"/>
      <c r="AG71" s="39"/>
      <c r="AH71" s="18"/>
      <c r="AI71" s="18"/>
      <c r="AJ71" s="18"/>
      <c r="AK71" s="18"/>
      <c r="AL71" s="18"/>
      <c r="AM71" s="17"/>
      <c r="AO71" t="str">
        <f t="shared" si="1"/>
        <v/>
      </c>
    </row>
    <row r="72" spans="1:41" ht="15" x14ac:dyDescent="0.2">
      <c r="A72" s="41" t="str">
        <f>IF(COUNTA(B72)&gt;0,64,"")</f>
        <v/>
      </c>
      <c r="B72" s="18"/>
      <c r="C72" s="18"/>
      <c r="D72" s="18"/>
      <c r="E72" s="18"/>
      <c r="F72" s="18"/>
      <c r="G72" s="24" t="str">
        <f t="shared" si="0"/>
        <v/>
      </c>
      <c r="H72" s="18"/>
      <c r="I72" s="39"/>
      <c r="J72" s="18"/>
      <c r="K72" s="18"/>
      <c r="L72" s="18"/>
      <c r="M72" s="18"/>
      <c r="N72" s="43" t="str">
        <f>IF(COUNTA(B72)&gt;0,C5,"")</f>
        <v/>
      </c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7"/>
      <c r="AC72" s="18"/>
      <c r="AD72" s="18"/>
      <c r="AE72" s="18"/>
      <c r="AF72" s="18"/>
      <c r="AG72" s="39"/>
      <c r="AH72" s="18"/>
      <c r="AI72" s="18"/>
      <c r="AJ72" s="18"/>
      <c r="AK72" s="18"/>
      <c r="AL72" s="18"/>
      <c r="AM72" s="17"/>
      <c r="AO72" t="str">
        <f t="shared" si="1"/>
        <v/>
      </c>
    </row>
    <row r="73" spans="1:41" ht="15" x14ac:dyDescent="0.2">
      <c r="A73" s="41" t="str">
        <f>IF(COUNTA(B73)&gt;0,65,"")</f>
        <v/>
      </c>
      <c r="B73" s="18"/>
      <c r="C73" s="18"/>
      <c r="D73" s="18"/>
      <c r="E73" s="18"/>
      <c r="F73" s="18"/>
      <c r="G73" s="24" t="str">
        <f t="shared" si="0"/>
        <v/>
      </c>
      <c r="H73" s="18"/>
      <c r="I73" s="39"/>
      <c r="J73" s="18"/>
      <c r="K73" s="18"/>
      <c r="L73" s="18"/>
      <c r="M73" s="18"/>
      <c r="N73" s="43" t="str">
        <f>IF(COUNTA(B73)&gt;0,C5,"")</f>
        <v/>
      </c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7"/>
      <c r="AC73" s="18"/>
      <c r="AD73" s="18"/>
      <c r="AE73" s="18"/>
      <c r="AF73" s="18"/>
      <c r="AG73" s="39"/>
      <c r="AH73" s="18"/>
      <c r="AI73" s="18"/>
      <c r="AJ73" s="18"/>
      <c r="AK73" s="18"/>
      <c r="AL73" s="18"/>
      <c r="AM73" s="17"/>
      <c r="AO73" t="str">
        <f t="shared" ref="AO73:AO136" si="2">IF(COUNTA(L73:M73)&lt;&gt;0,"Có",IF(COUNTA(B73)&gt;0,"Không",""))</f>
        <v/>
      </c>
    </row>
    <row r="74" spans="1:41" ht="15" x14ac:dyDescent="0.2">
      <c r="A74" s="41" t="str">
        <f>IF(COUNTA(B74)&gt;0,66,"")</f>
        <v/>
      </c>
      <c r="B74" s="18"/>
      <c r="C74" s="18"/>
      <c r="D74" s="18"/>
      <c r="E74" s="18"/>
      <c r="F74" s="18"/>
      <c r="G74" s="24" t="str">
        <f t="shared" si="0"/>
        <v/>
      </c>
      <c r="H74" s="18"/>
      <c r="I74" s="39"/>
      <c r="J74" s="18"/>
      <c r="K74" s="18"/>
      <c r="L74" s="18"/>
      <c r="M74" s="18"/>
      <c r="N74" s="43" t="str">
        <f>IF(COUNTA(B74)&gt;0,C5,"")</f>
        <v/>
      </c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7"/>
      <c r="AC74" s="18"/>
      <c r="AD74" s="18"/>
      <c r="AE74" s="18"/>
      <c r="AF74" s="18"/>
      <c r="AG74" s="39"/>
      <c r="AH74" s="18"/>
      <c r="AI74" s="18"/>
      <c r="AJ74" s="18"/>
      <c r="AK74" s="18"/>
      <c r="AL74" s="18"/>
      <c r="AM74" s="17"/>
      <c r="AO74" t="str">
        <f t="shared" si="2"/>
        <v/>
      </c>
    </row>
    <row r="75" spans="1:41" ht="15" x14ac:dyDescent="0.2">
      <c r="A75" s="41" t="str">
        <f>IF(COUNTA(B75)&gt;0,67,"")</f>
        <v/>
      </c>
      <c r="B75" s="18"/>
      <c r="C75" s="18"/>
      <c r="D75" s="18"/>
      <c r="E75" s="18"/>
      <c r="F75" s="18"/>
      <c r="G75" s="24" t="str">
        <f t="shared" si="0"/>
        <v/>
      </c>
      <c r="H75" s="18"/>
      <c r="I75" s="39"/>
      <c r="J75" s="18"/>
      <c r="K75" s="18"/>
      <c r="L75" s="18"/>
      <c r="M75" s="18"/>
      <c r="N75" s="43" t="str">
        <f>IF(COUNTA(B75)&gt;0,C5,"")</f>
        <v/>
      </c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7"/>
      <c r="AC75" s="18"/>
      <c r="AD75" s="18"/>
      <c r="AE75" s="18"/>
      <c r="AF75" s="18"/>
      <c r="AG75" s="39"/>
      <c r="AH75" s="18"/>
      <c r="AI75" s="18"/>
      <c r="AJ75" s="18"/>
      <c r="AK75" s="18"/>
      <c r="AL75" s="18"/>
      <c r="AM75" s="17"/>
      <c r="AO75" t="str">
        <f t="shared" si="2"/>
        <v/>
      </c>
    </row>
    <row r="76" spans="1:41" ht="15" x14ac:dyDescent="0.2">
      <c r="A76" s="41" t="str">
        <f>IF(COUNTA(B76)&gt;0,68,"")</f>
        <v/>
      </c>
      <c r="B76" s="18"/>
      <c r="C76" s="18"/>
      <c r="D76" s="18"/>
      <c r="E76" s="18"/>
      <c r="F76" s="18"/>
      <c r="G76" s="24" t="str">
        <f t="shared" si="0"/>
        <v/>
      </c>
      <c r="H76" s="18"/>
      <c r="I76" s="39"/>
      <c r="J76" s="18"/>
      <c r="K76" s="18"/>
      <c r="L76" s="18"/>
      <c r="M76" s="18"/>
      <c r="N76" s="43" t="str">
        <f>IF(COUNTA(B76)&gt;0,C5,"")</f>
        <v/>
      </c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7"/>
      <c r="AC76" s="18"/>
      <c r="AD76" s="18"/>
      <c r="AE76" s="18"/>
      <c r="AF76" s="18"/>
      <c r="AG76" s="39"/>
      <c r="AH76" s="18"/>
      <c r="AI76" s="18"/>
      <c r="AJ76" s="18"/>
      <c r="AK76" s="18"/>
      <c r="AL76" s="18"/>
      <c r="AM76" s="17"/>
      <c r="AO76" t="str">
        <f t="shared" si="2"/>
        <v/>
      </c>
    </row>
    <row r="77" spans="1:41" ht="15" x14ac:dyDescent="0.2">
      <c r="A77" s="41" t="str">
        <f>IF(COUNTA(B77)&gt;0,69,"")</f>
        <v/>
      </c>
      <c r="B77" s="18"/>
      <c r="C77" s="18"/>
      <c r="D77" s="18"/>
      <c r="E77" s="18"/>
      <c r="F77" s="18"/>
      <c r="G77" s="24" t="str">
        <f t="shared" si="0"/>
        <v/>
      </c>
      <c r="H77" s="18"/>
      <c r="I77" s="39"/>
      <c r="J77" s="18"/>
      <c r="K77" s="18"/>
      <c r="L77" s="18"/>
      <c r="M77" s="18"/>
      <c r="N77" s="43" t="str">
        <f>IF(COUNTA(B77)&gt;0,C5,"")</f>
        <v/>
      </c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7"/>
      <c r="AC77" s="18"/>
      <c r="AD77" s="18"/>
      <c r="AE77" s="18"/>
      <c r="AF77" s="18"/>
      <c r="AG77" s="39"/>
      <c r="AH77" s="18"/>
      <c r="AI77" s="18"/>
      <c r="AJ77" s="18"/>
      <c r="AK77" s="18"/>
      <c r="AL77" s="18"/>
      <c r="AM77" s="17"/>
      <c r="AO77" t="str">
        <f t="shared" si="2"/>
        <v/>
      </c>
    </row>
    <row r="78" spans="1:41" ht="15" x14ac:dyDescent="0.2">
      <c r="A78" s="41" t="str">
        <f>IF(COUNTA(B78)&gt;0,70,"")</f>
        <v/>
      </c>
      <c r="B78" s="18"/>
      <c r="C78" s="18"/>
      <c r="D78" s="18"/>
      <c r="E78" s="18"/>
      <c r="F78" s="18"/>
      <c r="G78" s="24" t="str">
        <f t="shared" si="0"/>
        <v/>
      </c>
      <c r="H78" s="18"/>
      <c r="I78" s="39"/>
      <c r="J78" s="18"/>
      <c r="K78" s="18"/>
      <c r="L78" s="18"/>
      <c r="M78" s="18"/>
      <c r="N78" s="43" t="str">
        <f>IF(COUNTA(B78)&gt;0,C5,"")</f>
        <v/>
      </c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7"/>
      <c r="AC78" s="18"/>
      <c r="AD78" s="18"/>
      <c r="AE78" s="18"/>
      <c r="AF78" s="18"/>
      <c r="AG78" s="39"/>
      <c r="AH78" s="18"/>
      <c r="AI78" s="18"/>
      <c r="AJ78" s="18"/>
      <c r="AK78" s="18"/>
      <c r="AL78" s="18"/>
      <c r="AM78" s="17"/>
      <c r="AO78" t="str">
        <f t="shared" si="2"/>
        <v/>
      </c>
    </row>
    <row r="79" spans="1:41" ht="15" x14ac:dyDescent="0.2">
      <c r="A79" s="41" t="str">
        <f>IF(COUNTA(B79)&gt;0,71,"")</f>
        <v/>
      </c>
      <c r="B79" s="18"/>
      <c r="C79" s="18"/>
      <c r="D79" s="18"/>
      <c r="E79" s="18"/>
      <c r="F79" s="18"/>
      <c r="G79" s="24" t="str">
        <f t="shared" si="0"/>
        <v/>
      </c>
      <c r="H79" s="18"/>
      <c r="I79" s="39"/>
      <c r="J79" s="18"/>
      <c r="K79" s="18"/>
      <c r="L79" s="18"/>
      <c r="M79" s="18"/>
      <c r="N79" s="43" t="str">
        <f>IF(COUNTA(B79)&gt;0,C5,"")</f>
        <v/>
      </c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7"/>
      <c r="AC79" s="18"/>
      <c r="AD79" s="18"/>
      <c r="AE79" s="18"/>
      <c r="AF79" s="18"/>
      <c r="AG79" s="39"/>
      <c r="AH79" s="18"/>
      <c r="AI79" s="18"/>
      <c r="AJ79" s="18"/>
      <c r="AK79" s="18"/>
      <c r="AL79" s="18"/>
      <c r="AM79" s="17"/>
      <c r="AO79" t="str">
        <f t="shared" si="2"/>
        <v/>
      </c>
    </row>
    <row r="80" spans="1:41" ht="15" x14ac:dyDescent="0.2">
      <c r="A80" s="41" t="str">
        <f>IF(COUNTA(B80)&gt;0,72,"")</f>
        <v/>
      </c>
      <c r="B80" s="18"/>
      <c r="C80" s="18"/>
      <c r="D80" s="18"/>
      <c r="E80" s="18"/>
      <c r="F80" s="18"/>
      <c r="G80" s="24" t="str">
        <f t="shared" si="0"/>
        <v/>
      </c>
      <c r="H80" s="18"/>
      <c r="I80" s="39"/>
      <c r="J80" s="18"/>
      <c r="K80" s="18"/>
      <c r="L80" s="18"/>
      <c r="M80" s="18"/>
      <c r="N80" s="43" t="str">
        <f>IF(COUNTA(B80)&gt;0,C5,"")</f>
        <v/>
      </c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7"/>
      <c r="AC80" s="18"/>
      <c r="AD80" s="18"/>
      <c r="AE80" s="18"/>
      <c r="AF80" s="18"/>
      <c r="AG80" s="39"/>
      <c r="AH80" s="18"/>
      <c r="AI80" s="18"/>
      <c r="AJ80" s="18"/>
      <c r="AK80" s="18"/>
      <c r="AL80" s="18"/>
      <c r="AM80" s="17"/>
      <c r="AO80" t="str">
        <f t="shared" si="2"/>
        <v/>
      </c>
    </row>
    <row r="81" spans="1:41" ht="15" x14ac:dyDescent="0.2">
      <c r="A81" s="41" t="str">
        <f>IF(COUNTA(B81)&gt;0,73,"")</f>
        <v/>
      </c>
      <c r="B81" s="18"/>
      <c r="C81" s="18"/>
      <c r="D81" s="18"/>
      <c r="E81" s="18"/>
      <c r="F81" s="18"/>
      <c r="G81" s="24" t="str">
        <f t="shared" si="0"/>
        <v/>
      </c>
      <c r="H81" s="18"/>
      <c r="I81" s="39"/>
      <c r="J81" s="18"/>
      <c r="K81" s="18"/>
      <c r="L81" s="18"/>
      <c r="M81" s="18"/>
      <c r="N81" s="43" t="str">
        <f>IF(COUNTA(B81)&gt;0,C5,"")</f>
        <v/>
      </c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7"/>
      <c r="AC81" s="18"/>
      <c r="AD81" s="18"/>
      <c r="AE81" s="18"/>
      <c r="AF81" s="18"/>
      <c r="AG81" s="39"/>
      <c r="AH81" s="18"/>
      <c r="AI81" s="18"/>
      <c r="AJ81" s="18"/>
      <c r="AK81" s="18"/>
      <c r="AL81" s="18"/>
      <c r="AM81" s="17"/>
      <c r="AO81" t="str">
        <f t="shared" si="2"/>
        <v/>
      </c>
    </row>
    <row r="82" spans="1:41" ht="15" x14ac:dyDescent="0.2">
      <c r="A82" s="41" t="str">
        <f>IF(COUNTA(B82)&gt;0,74,"")</f>
        <v/>
      </c>
      <c r="B82" s="18"/>
      <c r="C82" s="18"/>
      <c r="D82" s="18"/>
      <c r="E82" s="18"/>
      <c r="F82" s="18"/>
      <c r="G82" s="24" t="str">
        <f t="shared" si="0"/>
        <v/>
      </c>
      <c r="H82" s="18"/>
      <c r="I82" s="39"/>
      <c r="J82" s="18"/>
      <c r="K82" s="18"/>
      <c r="L82" s="18"/>
      <c r="M82" s="18"/>
      <c r="N82" s="43" t="str">
        <f>IF(COUNTA(B82)&gt;0,C5,"")</f>
        <v/>
      </c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7"/>
      <c r="AC82" s="18"/>
      <c r="AD82" s="18"/>
      <c r="AE82" s="18"/>
      <c r="AF82" s="18"/>
      <c r="AG82" s="39"/>
      <c r="AH82" s="18"/>
      <c r="AI82" s="18"/>
      <c r="AJ82" s="18"/>
      <c r="AK82" s="18"/>
      <c r="AL82" s="18"/>
      <c r="AM82" s="17"/>
      <c r="AO82" t="str">
        <f t="shared" si="2"/>
        <v/>
      </c>
    </row>
    <row r="83" spans="1:41" ht="15" x14ac:dyDescent="0.2">
      <c r="A83" s="41" t="str">
        <f>IF(COUNTA(B83)&gt;0,75,"")</f>
        <v/>
      </c>
      <c r="B83" s="18"/>
      <c r="C83" s="18"/>
      <c r="D83" s="18"/>
      <c r="E83" s="18"/>
      <c r="F83" s="18"/>
      <c r="G83" s="24" t="str">
        <f t="shared" si="0"/>
        <v/>
      </c>
      <c r="H83" s="18"/>
      <c r="I83" s="39"/>
      <c r="J83" s="18"/>
      <c r="K83" s="18"/>
      <c r="L83" s="18"/>
      <c r="M83" s="18"/>
      <c r="N83" s="43" t="str">
        <f>IF(COUNTA(B83)&gt;0,C5,"")</f>
        <v/>
      </c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7"/>
      <c r="AC83" s="18"/>
      <c r="AD83" s="18"/>
      <c r="AE83" s="18"/>
      <c r="AF83" s="18"/>
      <c r="AG83" s="39"/>
      <c r="AH83" s="18"/>
      <c r="AI83" s="18"/>
      <c r="AJ83" s="18"/>
      <c r="AK83" s="18"/>
      <c r="AL83" s="18"/>
      <c r="AM83" s="17"/>
      <c r="AO83" t="str">
        <f t="shared" si="2"/>
        <v/>
      </c>
    </row>
    <row r="84" spans="1:41" ht="15" x14ac:dyDescent="0.2">
      <c r="A84" s="41" t="str">
        <f>IF(COUNTA(B84)&gt;0,76,"")</f>
        <v/>
      </c>
      <c r="B84" s="18"/>
      <c r="C84" s="18"/>
      <c r="D84" s="18"/>
      <c r="E84" s="18"/>
      <c r="F84" s="18"/>
      <c r="G84" s="24" t="str">
        <f t="shared" si="0"/>
        <v/>
      </c>
      <c r="H84" s="18"/>
      <c r="I84" s="39"/>
      <c r="J84" s="18"/>
      <c r="K84" s="18"/>
      <c r="L84" s="18"/>
      <c r="M84" s="18"/>
      <c r="N84" s="43" t="str">
        <f>IF(COUNTA(B84)&gt;0,C5,"")</f>
        <v/>
      </c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7"/>
      <c r="AC84" s="18"/>
      <c r="AD84" s="18"/>
      <c r="AE84" s="18"/>
      <c r="AF84" s="18"/>
      <c r="AG84" s="39"/>
      <c r="AH84" s="18"/>
      <c r="AI84" s="18"/>
      <c r="AJ84" s="18"/>
      <c r="AK84" s="18"/>
      <c r="AL84" s="18"/>
      <c r="AM84" s="17"/>
      <c r="AO84" t="str">
        <f t="shared" si="2"/>
        <v/>
      </c>
    </row>
    <row r="85" spans="1:41" ht="15" x14ac:dyDescent="0.2">
      <c r="A85" s="41" t="str">
        <f>IF(COUNTA(B85)&gt;0,77,"")</f>
        <v/>
      </c>
      <c r="B85" s="18"/>
      <c r="C85" s="18"/>
      <c r="D85" s="18"/>
      <c r="E85" s="18"/>
      <c r="F85" s="18"/>
      <c r="G85" s="24" t="str">
        <f t="shared" si="0"/>
        <v/>
      </c>
      <c r="H85" s="18"/>
      <c r="I85" s="39"/>
      <c r="J85" s="18"/>
      <c r="K85" s="18"/>
      <c r="L85" s="18"/>
      <c r="M85" s="18"/>
      <c r="N85" s="43" t="str">
        <f>IF(COUNTA(B85)&gt;0,C5,"")</f>
        <v/>
      </c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7"/>
      <c r="AC85" s="18"/>
      <c r="AD85" s="18"/>
      <c r="AE85" s="18"/>
      <c r="AF85" s="18"/>
      <c r="AG85" s="39"/>
      <c r="AH85" s="18"/>
      <c r="AI85" s="18"/>
      <c r="AJ85" s="18"/>
      <c r="AK85" s="18"/>
      <c r="AL85" s="18"/>
      <c r="AM85" s="17"/>
      <c r="AO85" t="str">
        <f t="shared" si="2"/>
        <v/>
      </c>
    </row>
    <row r="86" spans="1:41" ht="15" x14ac:dyDescent="0.2">
      <c r="A86" s="41" t="str">
        <f>IF(COUNTA(B86)&gt;0,78,"")</f>
        <v/>
      </c>
      <c r="B86" s="18"/>
      <c r="C86" s="18"/>
      <c r="D86" s="18"/>
      <c r="E86" s="18"/>
      <c r="F86" s="18"/>
      <c r="G86" s="24" t="str">
        <f t="shared" si="0"/>
        <v/>
      </c>
      <c r="H86" s="18"/>
      <c r="I86" s="39"/>
      <c r="J86" s="18"/>
      <c r="K86" s="18"/>
      <c r="L86" s="18"/>
      <c r="M86" s="18"/>
      <c r="N86" s="43" t="str">
        <f>IF(COUNTA(B86)&gt;0,C5,"")</f>
        <v/>
      </c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7"/>
      <c r="AC86" s="18"/>
      <c r="AD86" s="18"/>
      <c r="AE86" s="18"/>
      <c r="AF86" s="18"/>
      <c r="AG86" s="39"/>
      <c r="AH86" s="18"/>
      <c r="AI86" s="18"/>
      <c r="AJ86" s="18"/>
      <c r="AK86" s="18"/>
      <c r="AL86" s="18"/>
      <c r="AM86" s="17"/>
      <c r="AO86" t="str">
        <f t="shared" si="2"/>
        <v/>
      </c>
    </row>
    <row r="87" spans="1:41" ht="15" x14ac:dyDescent="0.2">
      <c r="A87" s="41" t="str">
        <f>IF(COUNTA(B87)&gt;0,79,"")</f>
        <v/>
      </c>
      <c r="B87" s="18"/>
      <c r="C87" s="18"/>
      <c r="D87" s="18"/>
      <c r="E87" s="18"/>
      <c r="F87" s="18"/>
      <c r="G87" s="24" t="str">
        <f t="shared" si="0"/>
        <v/>
      </c>
      <c r="H87" s="18"/>
      <c r="I87" s="39"/>
      <c r="J87" s="18"/>
      <c r="K87" s="18"/>
      <c r="L87" s="18"/>
      <c r="M87" s="18"/>
      <c r="N87" s="43" t="str">
        <f>IF(COUNTA(B87)&gt;0,C5,"")</f>
        <v/>
      </c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7"/>
      <c r="AC87" s="18"/>
      <c r="AD87" s="18"/>
      <c r="AE87" s="18"/>
      <c r="AF87" s="18"/>
      <c r="AG87" s="39"/>
      <c r="AH87" s="18"/>
      <c r="AI87" s="18"/>
      <c r="AJ87" s="18"/>
      <c r="AK87" s="18"/>
      <c r="AL87" s="18"/>
      <c r="AM87" s="17"/>
      <c r="AO87" t="str">
        <f t="shared" si="2"/>
        <v/>
      </c>
    </row>
    <row r="88" spans="1:41" ht="15" x14ac:dyDescent="0.2">
      <c r="A88" s="41" t="str">
        <f>IF(COUNTA(B88)&gt;0,80,"")</f>
        <v/>
      </c>
      <c r="B88" s="18"/>
      <c r="C88" s="18"/>
      <c r="D88" s="18"/>
      <c r="E88" s="18"/>
      <c r="F88" s="18"/>
      <c r="G88" s="24" t="str">
        <f t="shared" si="0"/>
        <v/>
      </c>
      <c r="H88" s="18"/>
      <c r="I88" s="39"/>
      <c r="J88" s="18"/>
      <c r="K88" s="18"/>
      <c r="L88" s="18"/>
      <c r="M88" s="18"/>
      <c r="N88" s="43" t="str">
        <f>IF(COUNTA(B88)&gt;0,C5,"")</f>
        <v/>
      </c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7"/>
      <c r="AC88" s="18"/>
      <c r="AD88" s="18"/>
      <c r="AE88" s="18"/>
      <c r="AF88" s="18"/>
      <c r="AG88" s="39"/>
      <c r="AH88" s="18"/>
      <c r="AI88" s="18"/>
      <c r="AJ88" s="18"/>
      <c r="AK88" s="18"/>
      <c r="AL88" s="18"/>
      <c r="AM88" s="17"/>
      <c r="AO88" t="str">
        <f t="shared" si="2"/>
        <v/>
      </c>
    </row>
    <row r="89" spans="1:41" ht="15" x14ac:dyDescent="0.2">
      <c r="A89" s="41" t="str">
        <f>IF(COUNTA(B89)&gt;0,81,"")</f>
        <v/>
      </c>
      <c r="B89" s="18"/>
      <c r="C89" s="18"/>
      <c r="D89" s="18"/>
      <c r="E89" s="18"/>
      <c r="F89" s="18"/>
      <c r="G89" s="24" t="str">
        <f t="shared" si="0"/>
        <v/>
      </c>
      <c r="H89" s="18"/>
      <c r="I89" s="39"/>
      <c r="J89" s="18"/>
      <c r="K89" s="18"/>
      <c r="L89" s="18"/>
      <c r="M89" s="18"/>
      <c r="N89" s="43" t="str">
        <f>IF(COUNTA(B89)&gt;0,C5,"")</f>
        <v/>
      </c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7"/>
      <c r="AC89" s="18"/>
      <c r="AD89" s="18"/>
      <c r="AE89" s="18"/>
      <c r="AF89" s="18"/>
      <c r="AG89" s="39"/>
      <c r="AH89" s="18"/>
      <c r="AI89" s="18"/>
      <c r="AJ89" s="18"/>
      <c r="AK89" s="18"/>
      <c r="AL89" s="18"/>
      <c r="AM89" s="17"/>
      <c r="AO89" t="str">
        <f t="shared" si="2"/>
        <v/>
      </c>
    </row>
    <row r="90" spans="1:41" ht="15" x14ac:dyDescent="0.2">
      <c r="A90" s="41" t="str">
        <f>IF(COUNTA(B90)&gt;0,82,"")</f>
        <v/>
      </c>
      <c r="B90" s="18"/>
      <c r="C90" s="18"/>
      <c r="D90" s="18"/>
      <c r="E90" s="18"/>
      <c r="F90" s="18"/>
      <c r="G90" s="24" t="str">
        <f t="shared" si="0"/>
        <v/>
      </c>
      <c r="H90" s="18"/>
      <c r="I90" s="39"/>
      <c r="J90" s="18"/>
      <c r="K90" s="18"/>
      <c r="L90" s="18"/>
      <c r="M90" s="18"/>
      <c r="N90" s="43" t="str">
        <f>IF(COUNTA(B90)&gt;0,C5,"")</f>
        <v/>
      </c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7"/>
      <c r="AC90" s="18"/>
      <c r="AD90" s="18"/>
      <c r="AE90" s="18"/>
      <c r="AF90" s="18"/>
      <c r="AG90" s="39"/>
      <c r="AH90" s="18"/>
      <c r="AI90" s="18"/>
      <c r="AJ90" s="18"/>
      <c r="AK90" s="18"/>
      <c r="AL90" s="18"/>
      <c r="AM90" s="17"/>
      <c r="AO90" t="str">
        <f t="shared" si="2"/>
        <v/>
      </c>
    </row>
    <row r="91" spans="1:41" ht="15" x14ac:dyDescent="0.2">
      <c r="A91" s="41" t="str">
        <f>IF(COUNTA(B91)&gt;0,83,"")</f>
        <v/>
      </c>
      <c r="B91" s="18"/>
      <c r="C91" s="18"/>
      <c r="D91" s="18"/>
      <c r="E91" s="18"/>
      <c r="F91" s="18"/>
      <c r="G91" s="24" t="str">
        <f t="shared" si="0"/>
        <v/>
      </c>
      <c r="H91" s="18"/>
      <c r="I91" s="39"/>
      <c r="J91" s="18"/>
      <c r="K91" s="18"/>
      <c r="L91" s="18"/>
      <c r="M91" s="18"/>
      <c r="N91" s="43" t="str">
        <f>IF(COUNTA(B91)&gt;0,C5,"")</f>
        <v/>
      </c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7"/>
      <c r="AC91" s="18"/>
      <c r="AD91" s="18"/>
      <c r="AE91" s="18"/>
      <c r="AF91" s="18"/>
      <c r="AG91" s="39"/>
      <c r="AH91" s="18"/>
      <c r="AI91" s="18"/>
      <c r="AJ91" s="18"/>
      <c r="AK91" s="18"/>
      <c r="AL91" s="18"/>
      <c r="AM91" s="17"/>
      <c r="AO91" t="str">
        <f t="shared" si="2"/>
        <v/>
      </c>
    </row>
    <row r="92" spans="1:41" ht="15" x14ac:dyDescent="0.2">
      <c r="A92" s="41" t="str">
        <f>IF(COUNTA(B92)&gt;0,84,"")</f>
        <v/>
      </c>
      <c r="B92" s="18"/>
      <c r="C92" s="18"/>
      <c r="D92" s="18"/>
      <c r="E92" s="18"/>
      <c r="F92" s="18"/>
      <c r="G92" s="24" t="str">
        <f t="shared" si="0"/>
        <v/>
      </c>
      <c r="H92" s="18"/>
      <c r="I92" s="39"/>
      <c r="J92" s="18"/>
      <c r="K92" s="18"/>
      <c r="L92" s="18"/>
      <c r="M92" s="18"/>
      <c r="N92" s="43" t="str">
        <f>IF(COUNTA(B92)&gt;0,C5,"")</f>
        <v/>
      </c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7"/>
      <c r="AC92" s="18"/>
      <c r="AD92" s="18"/>
      <c r="AE92" s="18"/>
      <c r="AF92" s="18"/>
      <c r="AG92" s="39"/>
      <c r="AH92" s="18"/>
      <c r="AI92" s="18"/>
      <c r="AJ92" s="18"/>
      <c r="AK92" s="18"/>
      <c r="AL92" s="18"/>
      <c r="AM92" s="17"/>
      <c r="AO92" t="str">
        <f t="shared" si="2"/>
        <v/>
      </c>
    </row>
    <row r="93" spans="1:41" ht="15" x14ac:dyDescent="0.2">
      <c r="A93" s="41" t="str">
        <f>IF(COUNTA(B93)&gt;0,85,"")</f>
        <v/>
      </c>
      <c r="B93" s="18"/>
      <c r="C93" s="18"/>
      <c r="D93" s="18"/>
      <c r="E93" s="18"/>
      <c r="F93" s="18"/>
      <c r="G93" s="24" t="str">
        <f t="shared" si="0"/>
        <v/>
      </c>
      <c r="H93" s="18"/>
      <c r="I93" s="39"/>
      <c r="J93" s="18"/>
      <c r="K93" s="18"/>
      <c r="L93" s="18"/>
      <c r="M93" s="18"/>
      <c r="N93" s="43" t="str">
        <f>IF(COUNTA(B93)&gt;0,C5,"")</f>
        <v/>
      </c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7"/>
      <c r="AC93" s="18"/>
      <c r="AD93" s="18"/>
      <c r="AE93" s="18"/>
      <c r="AF93" s="18"/>
      <c r="AG93" s="39"/>
      <c r="AH93" s="18"/>
      <c r="AI93" s="18"/>
      <c r="AJ93" s="18"/>
      <c r="AK93" s="18"/>
      <c r="AL93" s="18"/>
      <c r="AM93" s="17"/>
      <c r="AO93" t="str">
        <f t="shared" si="2"/>
        <v/>
      </c>
    </row>
    <row r="94" spans="1:41" ht="15" x14ac:dyDescent="0.2">
      <c r="A94" s="41" t="str">
        <f>IF(COUNTA(B94)&gt;0,86,"")</f>
        <v/>
      </c>
      <c r="B94" s="18"/>
      <c r="C94" s="18"/>
      <c r="D94" s="18"/>
      <c r="E94" s="18"/>
      <c r="F94" s="18"/>
      <c r="G94" s="24" t="str">
        <f t="shared" si="0"/>
        <v/>
      </c>
      <c r="H94" s="18"/>
      <c r="I94" s="39"/>
      <c r="J94" s="18"/>
      <c r="K94" s="18"/>
      <c r="L94" s="18"/>
      <c r="M94" s="18"/>
      <c r="N94" s="43" t="str">
        <f>IF(COUNTA(B94)&gt;0,C5,"")</f>
        <v/>
      </c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7"/>
      <c r="AC94" s="18"/>
      <c r="AD94" s="18"/>
      <c r="AE94" s="18"/>
      <c r="AF94" s="18"/>
      <c r="AG94" s="39"/>
      <c r="AH94" s="18"/>
      <c r="AI94" s="18"/>
      <c r="AJ94" s="18"/>
      <c r="AK94" s="18"/>
      <c r="AL94" s="18"/>
      <c r="AM94" s="17"/>
      <c r="AO94" t="str">
        <f t="shared" si="2"/>
        <v/>
      </c>
    </row>
    <row r="95" spans="1:41" ht="15" x14ac:dyDescent="0.2">
      <c r="A95" s="41" t="str">
        <f>IF(COUNTA(B95)&gt;0,87,"")</f>
        <v/>
      </c>
      <c r="B95" s="18"/>
      <c r="C95" s="18"/>
      <c r="D95" s="18"/>
      <c r="E95" s="18"/>
      <c r="F95" s="18"/>
      <c r="G95" s="24" t="str">
        <f t="shared" si="0"/>
        <v/>
      </c>
      <c r="H95" s="18"/>
      <c r="I95" s="39"/>
      <c r="J95" s="18"/>
      <c r="K95" s="18"/>
      <c r="L95" s="18"/>
      <c r="M95" s="18"/>
      <c r="N95" s="43" t="str">
        <f>IF(COUNTA(B95)&gt;0,C5,"")</f>
        <v/>
      </c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7"/>
      <c r="AC95" s="18"/>
      <c r="AD95" s="18"/>
      <c r="AE95" s="18"/>
      <c r="AF95" s="18"/>
      <c r="AG95" s="39"/>
      <c r="AH95" s="18"/>
      <c r="AI95" s="18"/>
      <c r="AJ95" s="18"/>
      <c r="AK95" s="18"/>
      <c r="AL95" s="18"/>
      <c r="AM95" s="17"/>
      <c r="AO95" t="str">
        <f t="shared" si="2"/>
        <v/>
      </c>
    </row>
    <row r="96" spans="1:41" ht="15" x14ac:dyDescent="0.2">
      <c r="A96" s="41" t="str">
        <f>IF(COUNTA(B96)&gt;0,88,"")</f>
        <v/>
      </c>
      <c r="B96" s="18"/>
      <c r="C96" s="18"/>
      <c r="D96" s="18"/>
      <c r="E96" s="18"/>
      <c r="F96" s="18"/>
      <c r="G96" s="24" t="str">
        <f t="shared" si="0"/>
        <v/>
      </c>
      <c r="H96" s="18"/>
      <c r="I96" s="39"/>
      <c r="J96" s="18"/>
      <c r="K96" s="18"/>
      <c r="L96" s="18"/>
      <c r="M96" s="18"/>
      <c r="N96" s="43" t="str">
        <f>IF(COUNTA(B96)&gt;0,C5,"")</f>
        <v/>
      </c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7"/>
      <c r="AC96" s="18"/>
      <c r="AD96" s="18"/>
      <c r="AE96" s="18"/>
      <c r="AF96" s="18"/>
      <c r="AG96" s="39"/>
      <c r="AH96" s="18"/>
      <c r="AI96" s="18"/>
      <c r="AJ96" s="18"/>
      <c r="AK96" s="18"/>
      <c r="AL96" s="18"/>
      <c r="AM96" s="17"/>
      <c r="AO96" t="str">
        <f t="shared" si="2"/>
        <v/>
      </c>
    </row>
    <row r="97" spans="1:41" ht="15" x14ac:dyDescent="0.2">
      <c r="A97" s="41" t="str">
        <f>IF(COUNTA(B97)&gt;0,89,"")</f>
        <v/>
      </c>
      <c r="B97" s="18"/>
      <c r="C97" s="18"/>
      <c r="D97" s="18"/>
      <c r="E97" s="18"/>
      <c r="F97" s="18"/>
      <c r="G97" s="24" t="str">
        <f t="shared" si="0"/>
        <v/>
      </c>
      <c r="H97" s="18"/>
      <c r="I97" s="39"/>
      <c r="J97" s="18"/>
      <c r="K97" s="18"/>
      <c r="L97" s="18"/>
      <c r="M97" s="18"/>
      <c r="N97" s="43" t="str">
        <f>IF(COUNTA(B97)&gt;0,C5,"")</f>
        <v/>
      </c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7"/>
      <c r="AC97" s="18"/>
      <c r="AD97" s="18"/>
      <c r="AE97" s="18"/>
      <c r="AF97" s="18"/>
      <c r="AG97" s="39"/>
      <c r="AH97" s="18"/>
      <c r="AI97" s="18"/>
      <c r="AJ97" s="18"/>
      <c r="AK97" s="18"/>
      <c r="AL97" s="18"/>
      <c r="AM97" s="17"/>
      <c r="AO97" t="str">
        <f t="shared" si="2"/>
        <v/>
      </c>
    </row>
    <row r="98" spans="1:41" ht="15" x14ac:dyDescent="0.2">
      <c r="A98" s="41" t="str">
        <f>IF(COUNTA(B98)&gt;0,90,"")</f>
        <v/>
      </c>
      <c r="B98" s="18"/>
      <c r="C98" s="18"/>
      <c r="D98" s="18"/>
      <c r="E98" s="18"/>
      <c r="F98" s="18"/>
      <c r="G98" s="24" t="str">
        <f t="shared" si="0"/>
        <v/>
      </c>
      <c r="H98" s="18"/>
      <c r="I98" s="39"/>
      <c r="J98" s="18"/>
      <c r="K98" s="18"/>
      <c r="L98" s="18"/>
      <c r="M98" s="18"/>
      <c r="N98" s="43" t="str">
        <f>IF(COUNTA(B98)&gt;0,C5,"")</f>
        <v/>
      </c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7"/>
      <c r="AC98" s="18"/>
      <c r="AD98" s="18"/>
      <c r="AE98" s="18"/>
      <c r="AF98" s="18"/>
      <c r="AG98" s="39"/>
      <c r="AH98" s="18"/>
      <c r="AI98" s="18"/>
      <c r="AJ98" s="18"/>
      <c r="AK98" s="18"/>
      <c r="AL98" s="18"/>
      <c r="AM98" s="17"/>
      <c r="AO98" t="str">
        <f t="shared" si="2"/>
        <v/>
      </c>
    </row>
    <row r="99" spans="1:41" ht="15" x14ac:dyDescent="0.2">
      <c r="A99" s="41" t="str">
        <f>IF(COUNTA(B99)&gt;0,91,"")</f>
        <v/>
      </c>
      <c r="B99" s="18"/>
      <c r="C99" s="18"/>
      <c r="D99" s="18"/>
      <c r="E99" s="18"/>
      <c r="F99" s="18"/>
      <c r="G99" s="24" t="str">
        <f t="shared" si="0"/>
        <v/>
      </c>
      <c r="H99" s="18"/>
      <c r="I99" s="39"/>
      <c r="J99" s="18"/>
      <c r="K99" s="18"/>
      <c r="L99" s="18"/>
      <c r="M99" s="18"/>
      <c r="N99" s="43" t="str">
        <f>IF(COUNTA(B99)&gt;0,C5,"")</f>
        <v/>
      </c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7"/>
      <c r="AC99" s="18"/>
      <c r="AD99" s="18"/>
      <c r="AE99" s="18"/>
      <c r="AF99" s="18"/>
      <c r="AG99" s="39"/>
      <c r="AH99" s="18"/>
      <c r="AI99" s="18"/>
      <c r="AJ99" s="18"/>
      <c r="AK99" s="18"/>
      <c r="AL99" s="18"/>
      <c r="AM99" s="17"/>
      <c r="AO99" t="str">
        <f t="shared" si="2"/>
        <v/>
      </c>
    </row>
    <row r="100" spans="1:41" ht="15" x14ac:dyDescent="0.2">
      <c r="A100" s="41" t="str">
        <f>IF(COUNTA(B100)&gt;0,92,"")</f>
        <v/>
      </c>
      <c r="B100" s="18"/>
      <c r="C100" s="18"/>
      <c r="D100" s="18"/>
      <c r="E100" s="18"/>
      <c r="F100" s="18"/>
      <c r="G100" s="24" t="str">
        <f t="shared" si="0"/>
        <v/>
      </c>
      <c r="H100" s="18"/>
      <c r="I100" s="39"/>
      <c r="J100" s="18"/>
      <c r="K100" s="18"/>
      <c r="L100" s="18"/>
      <c r="M100" s="18"/>
      <c r="N100" s="43" t="str">
        <f>IF(COUNTA(B100)&gt;0,C5,"")</f>
        <v/>
      </c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7"/>
      <c r="AC100" s="18"/>
      <c r="AD100" s="18"/>
      <c r="AE100" s="18"/>
      <c r="AF100" s="18"/>
      <c r="AG100" s="39"/>
      <c r="AH100" s="18"/>
      <c r="AI100" s="18"/>
      <c r="AJ100" s="18"/>
      <c r="AK100" s="18"/>
      <c r="AL100" s="18"/>
      <c r="AM100" s="17"/>
      <c r="AO100" t="str">
        <f t="shared" si="2"/>
        <v/>
      </c>
    </row>
    <row r="101" spans="1:41" ht="15" x14ac:dyDescent="0.2">
      <c r="A101" s="41" t="str">
        <f>IF(COUNTA(B101)&gt;0,93,"")</f>
        <v/>
      </c>
      <c r="B101" s="18"/>
      <c r="C101" s="18"/>
      <c r="D101" s="18"/>
      <c r="E101" s="18"/>
      <c r="F101" s="18"/>
      <c r="G101" s="24" t="str">
        <f t="shared" si="0"/>
        <v/>
      </c>
      <c r="H101" s="18"/>
      <c r="I101" s="39"/>
      <c r="J101" s="18"/>
      <c r="K101" s="18"/>
      <c r="L101" s="18"/>
      <c r="M101" s="18"/>
      <c r="N101" s="43" t="str">
        <f>IF(COUNTA(B101)&gt;0,C5,"")</f>
        <v/>
      </c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7"/>
      <c r="AC101" s="18"/>
      <c r="AD101" s="18"/>
      <c r="AE101" s="18"/>
      <c r="AF101" s="18"/>
      <c r="AG101" s="39"/>
      <c r="AH101" s="18"/>
      <c r="AI101" s="18"/>
      <c r="AJ101" s="18"/>
      <c r="AK101" s="18"/>
      <c r="AL101" s="18"/>
      <c r="AM101" s="17"/>
      <c r="AO101" t="str">
        <f t="shared" si="2"/>
        <v/>
      </c>
    </row>
    <row r="102" spans="1:41" ht="15" x14ac:dyDescent="0.2">
      <c r="A102" s="41" t="str">
        <f>IF(COUNTA(B102)&gt;0,94,"")</f>
        <v/>
      </c>
      <c r="B102" s="18"/>
      <c r="C102" s="18"/>
      <c r="D102" s="18"/>
      <c r="E102" s="18"/>
      <c r="F102" s="18"/>
      <c r="G102" s="24" t="str">
        <f t="shared" si="0"/>
        <v/>
      </c>
      <c r="H102" s="18"/>
      <c r="I102" s="39"/>
      <c r="J102" s="18"/>
      <c r="K102" s="18"/>
      <c r="L102" s="18"/>
      <c r="M102" s="18"/>
      <c r="N102" s="43" t="str">
        <f>IF(COUNTA(B102)&gt;0,C5,"")</f>
        <v/>
      </c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7"/>
      <c r="AC102" s="18"/>
      <c r="AD102" s="18"/>
      <c r="AE102" s="18"/>
      <c r="AF102" s="18"/>
      <c r="AG102" s="39"/>
      <c r="AH102" s="18"/>
      <c r="AI102" s="18"/>
      <c r="AJ102" s="18"/>
      <c r="AK102" s="18"/>
      <c r="AL102" s="18"/>
      <c r="AM102" s="17"/>
      <c r="AO102" t="str">
        <f t="shared" si="2"/>
        <v/>
      </c>
    </row>
    <row r="103" spans="1:41" ht="15" x14ac:dyDescent="0.2">
      <c r="A103" s="41" t="str">
        <f>IF(COUNTA(B103)&gt;0,95,"")</f>
        <v/>
      </c>
      <c r="B103" s="18"/>
      <c r="C103" s="18"/>
      <c r="D103" s="18"/>
      <c r="E103" s="18"/>
      <c r="F103" s="18"/>
      <c r="G103" s="24" t="str">
        <f t="shared" si="0"/>
        <v/>
      </c>
      <c r="H103" s="18"/>
      <c r="I103" s="39"/>
      <c r="J103" s="18"/>
      <c r="K103" s="18"/>
      <c r="L103" s="18"/>
      <c r="M103" s="18"/>
      <c r="N103" s="43" t="str">
        <f>IF(COUNTA(B103)&gt;0,C5,"")</f>
        <v/>
      </c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7"/>
      <c r="AC103" s="18"/>
      <c r="AD103" s="18"/>
      <c r="AE103" s="18"/>
      <c r="AF103" s="18"/>
      <c r="AG103" s="39"/>
      <c r="AH103" s="18"/>
      <c r="AI103" s="18"/>
      <c r="AJ103" s="18"/>
      <c r="AK103" s="18"/>
      <c r="AL103" s="18"/>
      <c r="AM103" s="17"/>
      <c r="AO103" t="str">
        <f t="shared" si="2"/>
        <v/>
      </c>
    </row>
    <row r="104" spans="1:41" ht="15" x14ac:dyDescent="0.2">
      <c r="A104" s="41" t="str">
        <f>IF(COUNTA(B104)&gt;0,96,"")</f>
        <v/>
      </c>
      <c r="B104" s="18"/>
      <c r="C104" s="18"/>
      <c r="D104" s="18"/>
      <c r="E104" s="18"/>
      <c r="F104" s="18"/>
      <c r="G104" s="24" t="str">
        <f t="shared" si="0"/>
        <v/>
      </c>
      <c r="H104" s="18"/>
      <c r="I104" s="39"/>
      <c r="J104" s="18"/>
      <c r="K104" s="18"/>
      <c r="L104" s="18"/>
      <c r="M104" s="18"/>
      <c r="N104" s="43" t="str">
        <f>IF(COUNTA(B104)&gt;0,C5,"")</f>
        <v/>
      </c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7"/>
      <c r="AC104" s="18"/>
      <c r="AD104" s="18"/>
      <c r="AE104" s="18"/>
      <c r="AF104" s="18"/>
      <c r="AG104" s="39"/>
      <c r="AH104" s="18"/>
      <c r="AI104" s="18"/>
      <c r="AJ104" s="18"/>
      <c r="AK104" s="18"/>
      <c r="AL104" s="18"/>
      <c r="AM104" s="17"/>
      <c r="AO104" t="str">
        <f t="shared" si="2"/>
        <v/>
      </c>
    </row>
    <row r="105" spans="1:41" ht="15" x14ac:dyDescent="0.2">
      <c r="A105" s="41" t="str">
        <f>IF(COUNTA(B105)&gt;0,97,"")</f>
        <v/>
      </c>
      <c r="B105" s="18"/>
      <c r="C105" s="18"/>
      <c r="D105" s="18"/>
      <c r="E105" s="18"/>
      <c r="F105" s="18"/>
      <c r="G105" s="24" t="str">
        <f t="shared" si="0"/>
        <v/>
      </c>
      <c r="H105" s="18"/>
      <c r="I105" s="39"/>
      <c r="J105" s="18"/>
      <c r="K105" s="18"/>
      <c r="L105" s="18"/>
      <c r="M105" s="18"/>
      <c r="N105" s="43" t="str">
        <f>IF(COUNTA(B105)&gt;0,C5,"")</f>
        <v/>
      </c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7"/>
      <c r="AC105" s="18"/>
      <c r="AD105" s="18"/>
      <c r="AE105" s="18"/>
      <c r="AF105" s="18"/>
      <c r="AG105" s="39"/>
      <c r="AH105" s="18"/>
      <c r="AI105" s="18"/>
      <c r="AJ105" s="18"/>
      <c r="AK105" s="18"/>
      <c r="AL105" s="18"/>
      <c r="AM105" s="17"/>
      <c r="AO105" t="str">
        <f t="shared" si="2"/>
        <v/>
      </c>
    </row>
    <row r="106" spans="1:41" ht="15" x14ac:dyDescent="0.2">
      <c r="A106" s="41" t="str">
        <f>IF(COUNTA(B106)&gt;0,98,"")</f>
        <v/>
      </c>
      <c r="B106" s="18"/>
      <c r="C106" s="18"/>
      <c r="D106" s="18"/>
      <c r="E106" s="18"/>
      <c r="F106" s="18"/>
      <c r="G106" s="24" t="str">
        <f t="shared" si="0"/>
        <v/>
      </c>
      <c r="H106" s="18"/>
      <c r="I106" s="39"/>
      <c r="J106" s="18"/>
      <c r="K106" s="18"/>
      <c r="L106" s="18"/>
      <c r="M106" s="18"/>
      <c r="N106" s="43" t="str">
        <f>IF(COUNTA(B106)&gt;0,C5,"")</f>
        <v/>
      </c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7"/>
      <c r="AC106" s="18"/>
      <c r="AD106" s="18"/>
      <c r="AE106" s="18"/>
      <c r="AF106" s="18"/>
      <c r="AG106" s="39"/>
      <c r="AH106" s="18"/>
      <c r="AI106" s="18"/>
      <c r="AJ106" s="18"/>
      <c r="AK106" s="18"/>
      <c r="AL106" s="18"/>
      <c r="AM106" s="17"/>
      <c r="AO106" t="str">
        <f t="shared" si="2"/>
        <v/>
      </c>
    </row>
    <row r="107" spans="1:41" ht="15" x14ac:dyDescent="0.2">
      <c r="A107" s="41" t="str">
        <f>IF(COUNTA(B107)&gt;0,99,"")</f>
        <v/>
      </c>
      <c r="B107" s="18"/>
      <c r="C107" s="18"/>
      <c r="D107" s="18"/>
      <c r="E107" s="18"/>
      <c r="F107" s="18"/>
      <c r="G107" s="24" t="str">
        <f t="shared" si="0"/>
        <v/>
      </c>
      <c r="H107" s="18"/>
      <c r="I107" s="39"/>
      <c r="J107" s="18"/>
      <c r="K107" s="18"/>
      <c r="L107" s="18"/>
      <c r="M107" s="18"/>
      <c r="N107" s="43" t="str">
        <f>IF(COUNTA(B107)&gt;0,C5,"")</f>
        <v/>
      </c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7"/>
      <c r="AC107" s="18"/>
      <c r="AD107" s="18"/>
      <c r="AE107" s="18"/>
      <c r="AF107" s="18"/>
      <c r="AG107" s="39"/>
      <c r="AH107" s="18"/>
      <c r="AI107" s="18"/>
      <c r="AJ107" s="18"/>
      <c r="AK107" s="18"/>
      <c r="AL107" s="18"/>
      <c r="AM107" s="17"/>
      <c r="AO107" t="str">
        <f t="shared" si="2"/>
        <v/>
      </c>
    </row>
    <row r="108" spans="1:41" ht="15" x14ac:dyDescent="0.2">
      <c r="A108" s="41" t="str">
        <f>IF(COUNTA(B108)&gt;0,100,"")</f>
        <v/>
      </c>
      <c r="B108" s="18"/>
      <c r="C108" s="18"/>
      <c r="D108" s="18"/>
      <c r="E108" s="18"/>
      <c r="F108" s="18"/>
      <c r="G108" s="24" t="str">
        <f t="shared" si="0"/>
        <v/>
      </c>
      <c r="H108" s="18"/>
      <c r="I108" s="39"/>
      <c r="J108" s="18"/>
      <c r="K108" s="18"/>
      <c r="L108" s="18"/>
      <c r="M108" s="18"/>
      <c r="N108" s="43" t="str">
        <f>IF(COUNTA(B108)&gt;0,C5,"")</f>
        <v/>
      </c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7"/>
      <c r="AC108" s="18"/>
      <c r="AD108" s="18"/>
      <c r="AE108" s="18"/>
      <c r="AF108" s="18"/>
      <c r="AG108" s="39"/>
      <c r="AH108" s="18"/>
      <c r="AI108" s="18"/>
      <c r="AJ108" s="18"/>
      <c r="AK108" s="18"/>
      <c r="AL108" s="18"/>
      <c r="AM108" s="17"/>
      <c r="AO108" t="str">
        <f t="shared" si="2"/>
        <v/>
      </c>
    </row>
    <row r="109" spans="1:41" ht="15" x14ac:dyDescent="0.2">
      <c r="A109" s="41" t="str">
        <f>IF(COUNTA(B109)&gt;0,101,"")</f>
        <v/>
      </c>
      <c r="B109" s="18"/>
      <c r="C109" s="18"/>
      <c r="D109" s="18"/>
      <c r="E109" s="18"/>
      <c r="F109" s="18"/>
      <c r="G109" s="24" t="str">
        <f t="shared" si="0"/>
        <v/>
      </c>
      <c r="H109" s="18"/>
      <c r="I109" s="39"/>
      <c r="J109" s="18"/>
      <c r="K109" s="18"/>
      <c r="L109" s="18"/>
      <c r="M109" s="18"/>
      <c r="N109" s="43" t="str">
        <f>IF(COUNTA(B109)&gt;0,C5,"")</f>
        <v/>
      </c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7"/>
      <c r="AC109" s="18"/>
      <c r="AD109" s="18"/>
      <c r="AE109" s="18"/>
      <c r="AF109" s="18"/>
      <c r="AG109" s="39"/>
      <c r="AH109" s="18"/>
      <c r="AI109" s="18"/>
      <c r="AJ109" s="18"/>
      <c r="AK109" s="18"/>
      <c r="AL109" s="18"/>
      <c r="AM109" s="17"/>
      <c r="AO109" t="str">
        <f t="shared" si="2"/>
        <v/>
      </c>
    </row>
    <row r="110" spans="1:41" ht="15" x14ac:dyDescent="0.2">
      <c r="A110" s="41" t="str">
        <f>IF(COUNTA(B110)&gt;0,102,"")</f>
        <v/>
      </c>
      <c r="B110" s="18"/>
      <c r="C110" s="18"/>
      <c r="D110" s="18"/>
      <c r="E110" s="18"/>
      <c r="F110" s="18"/>
      <c r="G110" s="24" t="str">
        <f t="shared" si="0"/>
        <v/>
      </c>
      <c r="H110" s="18"/>
      <c r="I110" s="39"/>
      <c r="J110" s="18"/>
      <c r="K110" s="18"/>
      <c r="L110" s="18"/>
      <c r="M110" s="18"/>
      <c r="N110" s="43" t="str">
        <f>IF(COUNTA(B110)&gt;0,C5,"")</f>
        <v/>
      </c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7"/>
      <c r="AC110" s="18"/>
      <c r="AD110" s="18"/>
      <c r="AE110" s="18"/>
      <c r="AF110" s="18"/>
      <c r="AG110" s="39"/>
      <c r="AH110" s="18"/>
      <c r="AI110" s="18"/>
      <c r="AJ110" s="18"/>
      <c r="AK110" s="18"/>
      <c r="AL110" s="18"/>
      <c r="AM110" s="17"/>
      <c r="AO110" t="str">
        <f t="shared" si="2"/>
        <v/>
      </c>
    </row>
    <row r="111" spans="1:41" ht="15" x14ac:dyDescent="0.2">
      <c r="A111" s="41" t="str">
        <f>IF(COUNTA(B111)&gt;0,103,"")</f>
        <v/>
      </c>
      <c r="B111" s="18"/>
      <c r="C111" s="18"/>
      <c r="D111" s="18"/>
      <c r="E111" s="18"/>
      <c r="F111" s="18"/>
      <c r="G111" s="24" t="str">
        <f t="shared" si="0"/>
        <v/>
      </c>
      <c r="H111" s="18"/>
      <c r="I111" s="39"/>
      <c r="J111" s="18"/>
      <c r="K111" s="18"/>
      <c r="L111" s="18"/>
      <c r="M111" s="18"/>
      <c r="N111" s="43" t="str">
        <f>IF(COUNTA(B111)&gt;0,C5,"")</f>
        <v/>
      </c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7"/>
      <c r="AC111" s="18"/>
      <c r="AD111" s="18"/>
      <c r="AE111" s="18"/>
      <c r="AF111" s="18"/>
      <c r="AG111" s="39"/>
      <c r="AH111" s="18"/>
      <c r="AI111" s="18"/>
      <c r="AJ111" s="18"/>
      <c r="AK111" s="18"/>
      <c r="AL111" s="18"/>
      <c r="AM111" s="17"/>
      <c r="AO111" t="str">
        <f t="shared" si="2"/>
        <v/>
      </c>
    </row>
    <row r="112" spans="1:41" ht="15" x14ac:dyDescent="0.2">
      <c r="A112" s="41" t="str">
        <f>IF(COUNTA(B112)&gt;0,104,"")</f>
        <v/>
      </c>
      <c r="B112" s="18"/>
      <c r="C112" s="18"/>
      <c r="D112" s="18"/>
      <c r="E112" s="18"/>
      <c r="F112" s="18"/>
      <c r="G112" s="24" t="str">
        <f t="shared" si="0"/>
        <v/>
      </c>
      <c r="H112" s="18"/>
      <c r="I112" s="39"/>
      <c r="J112" s="18"/>
      <c r="K112" s="18"/>
      <c r="L112" s="18"/>
      <c r="M112" s="18"/>
      <c r="N112" s="43" t="str">
        <f>IF(COUNTA(B112)&gt;0,C5,"")</f>
        <v/>
      </c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7"/>
      <c r="AC112" s="18"/>
      <c r="AD112" s="18"/>
      <c r="AE112" s="18"/>
      <c r="AF112" s="18"/>
      <c r="AG112" s="39"/>
      <c r="AH112" s="18"/>
      <c r="AI112" s="18"/>
      <c r="AJ112" s="18"/>
      <c r="AK112" s="18"/>
      <c r="AL112" s="18"/>
      <c r="AM112" s="17"/>
      <c r="AO112" t="str">
        <f t="shared" si="2"/>
        <v/>
      </c>
    </row>
    <row r="113" spans="1:41" ht="15" x14ac:dyDescent="0.2">
      <c r="A113" s="41" t="str">
        <f>IF(COUNTA(B113)&gt;0,105,"")</f>
        <v/>
      </c>
      <c r="B113" s="18"/>
      <c r="C113" s="18"/>
      <c r="D113" s="18"/>
      <c r="E113" s="18"/>
      <c r="F113" s="18"/>
      <c r="G113" s="24" t="str">
        <f t="shared" si="0"/>
        <v/>
      </c>
      <c r="H113" s="18"/>
      <c r="I113" s="39"/>
      <c r="J113" s="18"/>
      <c r="K113" s="18"/>
      <c r="L113" s="18"/>
      <c r="M113" s="18"/>
      <c r="N113" s="43" t="str">
        <f>IF(COUNTA(B113)&gt;0,C5,"")</f>
        <v/>
      </c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7"/>
      <c r="AC113" s="18"/>
      <c r="AD113" s="18"/>
      <c r="AE113" s="18"/>
      <c r="AF113" s="18"/>
      <c r="AG113" s="39"/>
      <c r="AH113" s="18"/>
      <c r="AI113" s="18"/>
      <c r="AJ113" s="18"/>
      <c r="AK113" s="18"/>
      <c r="AL113" s="18"/>
      <c r="AM113" s="17"/>
      <c r="AO113" t="str">
        <f t="shared" si="2"/>
        <v/>
      </c>
    </row>
    <row r="114" spans="1:41" ht="15" x14ac:dyDescent="0.2">
      <c r="A114" s="41" t="str">
        <f>IF(COUNTA(B114)&gt;0,106,"")</f>
        <v/>
      </c>
      <c r="B114" s="18"/>
      <c r="C114" s="18"/>
      <c r="D114" s="18"/>
      <c r="E114" s="18"/>
      <c r="F114" s="18"/>
      <c r="G114" s="24" t="str">
        <f t="shared" si="0"/>
        <v/>
      </c>
      <c r="H114" s="18"/>
      <c r="I114" s="39"/>
      <c r="J114" s="18"/>
      <c r="K114" s="18"/>
      <c r="L114" s="18"/>
      <c r="M114" s="18"/>
      <c r="N114" s="43" t="str">
        <f>IF(COUNTA(B114)&gt;0,C5,"")</f>
        <v/>
      </c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7"/>
      <c r="AC114" s="18"/>
      <c r="AD114" s="18"/>
      <c r="AE114" s="18"/>
      <c r="AF114" s="18"/>
      <c r="AG114" s="39"/>
      <c r="AH114" s="18"/>
      <c r="AI114" s="18"/>
      <c r="AJ114" s="18"/>
      <c r="AK114" s="18"/>
      <c r="AL114" s="18"/>
      <c r="AM114" s="17"/>
      <c r="AO114" t="str">
        <f t="shared" si="2"/>
        <v/>
      </c>
    </row>
    <row r="115" spans="1:41" ht="15" x14ac:dyDescent="0.2">
      <c r="A115" s="41" t="str">
        <f>IF(COUNTA(B115)&gt;0,107,"")</f>
        <v/>
      </c>
      <c r="B115" s="18"/>
      <c r="C115" s="18"/>
      <c r="D115" s="18"/>
      <c r="E115" s="18"/>
      <c r="F115" s="18"/>
      <c r="G115" s="24" t="str">
        <f t="shared" si="0"/>
        <v/>
      </c>
      <c r="H115" s="18"/>
      <c r="I115" s="39"/>
      <c r="J115" s="18"/>
      <c r="K115" s="18"/>
      <c r="L115" s="18"/>
      <c r="M115" s="18"/>
      <c r="N115" s="43" t="str">
        <f>IF(COUNTA(B115)&gt;0,C5,"")</f>
        <v/>
      </c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7"/>
      <c r="AC115" s="18"/>
      <c r="AD115" s="18"/>
      <c r="AE115" s="18"/>
      <c r="AF115" s="18"/>
      <c r="AG115" s="39"/>
      <c r="AH115" s="18"/>
      <c r="AI115" s="18"/>
      <c r="AJ115" s="18"/>
      <c r="AK115" s="18"/>
      <c r="AL115" s="18"/>
      <c r="AM115" s="17"/>
      <c r="AO115" t="str">
        <f t="shared" si="2"/>
        <v/>
      </c>
    </row>
    <row r="116" spans="1:41" ht="15" x14ac:dyDescent="0.2">
      <c r="A116" s="41" t="str">
        <f>IF(COUNTA(B116)&gt;0,108,"")</f>
        <v/>
      </c>
      <c r="B116" s="18"/>
      <c r="C116" s="18"/>
      <c r="D116" s="18"/>
      <c r="E116" s="18"/>
      <c r="F116" s="18"/>
      <c r="G116" s="24" t="str">
        <f t="shared" si="0"/>
        <v/>
      </c>
      <c r="H116" s="18"/>
      <c r="I116" s="39"/>
      <c r="J116" s="18"/>
      <c r="K116" s="18"/>
      <c r="L116" s="18"/>
      <c r="M116" s="18"/>
      <c r="N116" s="43" t="str">
        <f>IF(COUNTA(B116)&gt;0,C5,"")</f>
        <v/>
      </c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7"/>
      <c r="AC116" s="18"/>
      <c r="AD116" s="18"/>
      <c r="AE116" s="18"/>
      <c r="AF116" s="18"/>
      <c r="AG116" s="39"/>
      <c r="AH116" s="18"/>
      <c r="AI116" s="18"/>
      <c r="AJ116" s="18"/>
      <c r="AK116" s="18"/>
      <c r="AL116" s="18"/>
      <c r="AM116" s="17"/>
      <c r="AO116" t="str">
        <f t="shared" si="2"/>
        <v/>
      </c>
    </row>
    <row r="117" spans="1:41" ht="15" x14ac:dyDescent="0.2">
      <c r="A117" s="41" t="str">
        <f>IF(COUNTA(B117)&gt;0,109,"")</f>
        <v/>
      </c>
      <c r="B117" s="18"/>
      <c r="C117" s="18"/>
      <c r="D117" s="18"/>
      <c r="E117" s="18"/>
      <c r="F117" s="18"/>
      <c r="G117" s="24" t="str">
        <f t="shared" si="0"/>
        <v/>
      </c>
      <c r="H117" s="18"/>
      <c r="I117" s="39"/>
      <c r="J117" s="18"/>
      <c r="K117" s="18"/>
      <c r="L117" s="18"/>
      <c r="M117" s="18"/>
      <c r="N117" s="43" t="str">
        <f>IF(COUNTA(B117)&gt;0,C5,"")</f>
        <v/>
      </c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7"/>
      <c r="AC117" s="18"/>
      <c r="AD117" s="18"/>
      <c r="AE117" s="18"/>
      <c r="AF117" s="18"/>
      <c r="AG117" s="39"/>
      <c r="AH117" s="18"/>
      <c r="AI117" s="18"/>
      <c r="AJ117" s="18"/>
      <c r="AK117" s="18"/>
      <c r="AL117" s="18"/>
      <c r="AM117" s="17"/>
      <c r="AO117" t="str">
        <f t="shared" si="2"/>
        <v/>
      </c>
    </row>
    <row r="118" spans="1:41" ht="15" x14ac:dyDescent="0.2">
      <c r="A118" s="41" t="str">
        <f>IF(COUNTA(B118)&gt;0,110,"")</f>
        <v/>
      </c>
      <c r="B118" s="18"/>
      <c r="C118" s="18"/>
      <c r="D118" s="18"/>
      <c r="E118" s="18"/>
      <c r="F118" s="18"/>
      <c r="G118" s="24" t="str">
        <f t="shared" si="0"/>
        <v/>
      </c>
      <c r="H118" s="18"/>
      <c r="I118" s="39"/>
      <c r="J118" s="18"/>
      <c r="K118" s="18"/>
      <c r="L118" s="18"/>
      <c r="M118" s="18"/>
      <c r="N118" s="43" t="str">
        <f>IF(COUNTA(B118)&gt;0,C5,"")</f>
        <v/>
      </c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7"/>
      <c r="AC118" s="18"/>
      <c r="AD118" s="18"/>
      <c r="AE118" s="18"/>
      <c r="AF118" s="18"/>
      <c r="AG118" s="39"/>
      <c r="AH118" s="18"/>
      <c r="AI118" s="18"/>
      <c r="AJ118" s="18"/>
      <c r="AK118" s="18"/>
      <c r="AL118" s="18"/>
      <c r="AM118" s="17"/>
      <c r="AO118" t="str">
        <f t="shared" si="2"/>
        <v/>
      </c>
    </row>
    <row r="119" spans="1:41" ht="15" x14ac:dyDescent="0.2">
      <c r="A119" s="41" t="str">
        <f>IF(COUNTA(B119)&gt;0,111,"")</f>
        <v/>
      </c>
      <c r="B119" s="18"/>
      <c r="C119" s="18"/>
      <c r="D119" s="18"/>
      <c r="E119" s="18"/>
      <c r="F119" s="18"/>
      <c r="G119" s="24" t="str">
        <f t="shared" si="0"/>
        <v/>
      </c>
      <c r="H119" s="18"/>
      <c r="I119" s="39"/>
      <c r="J119" s="18"/>
      <c r="K119" s="18"/>
      <c r="L119" s="18"/>
      <c r="M119" s="18"/>
      <c r="N119" s="43" t="str">
        <f>IF(COUNTA(B119)&gt;0,C5,"")</f>
        <v/>
      </c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7"/>
      <c r="AC119" s="18"/>
      <c r="AD119" s="18"/>
      <c r="AE119" s="18"/>
      <c r="AF119" s="18"/>
      <c r="AG119" s="39"/>
      <c r="AH119" s="18"/>
      <c r="AI119" s="18"/>
      <c r="AJ119" s="18"/>
      <c r="AK119" s="18"/>
      <c r="AL119" s="18"/>
      <c r="AM119" s="17"/>
      <c r="AO119" t="str">
        <f t="shared" si="2"/>
        <v/>
      </c>
    </row>
    <row r="120" spans="1:41" ht="15" x14ac:dyDescent="0.2">
      <c r="A120" s="41" t="str">
        <f>IF(COUNTA(B120)&gt;0,112,"")</f>
        <v/>
      </c>
      <c r="B120" s="18"/>
      <c r="C120" s="18"/>
      <c r="D120" s="18"/>
      <c r="E120" s="18"/>
      <c r="F120" s="18"/>
      <c r="G120" s="24" t="str">
        <f t="shared" si="0"/>
        <v/>
      </c>
      <c r="H120" s="18"/>
      <c r="I120" s="39"/>
      <c r="J120" s="18"/>
      <c r="K120" s="18"/>
      <c r="L120" s="18"/>
      <c r="M120" s="18"/>
      <c r="N120" s="43" t="str">
        <f>IF(COUNTA(B120)&gt;0,C5,"")</f>
        <v/>
      </c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7"/>
      <c r="AC120" s="18"/>
      <c r="AD120" s="18"/>
      <c r="AE120" s="18"/>
      <c r="AF120" s="18"/>
      <c r="AG120" s="39"/>
      <c r="AH120" s="18"/>
      <c r="AI120" s="18"/>
      <c r="AJ120" s="18"/>
      <c r="AK120" s="18"/>
      <c r="AL120" s="18"/>
      <c r="AM120" s="17"/>
      <c r="AO120" t="str">
        <f t="shared" si="2"/>
        <v/>
      </c>
    </row>
    <row r="121" spans="1:41" ht="15" x14ac:dyDescent="0.2">
      <c r="A121" s="41" t="str">
        <f>IF(COUNTA(B121)&gt;0,113,"")</f>
        <v/>
      </c>
      <c r="B121" s="18"/>
      <c r="C121" s="18"/>
      <c r="D121" s="18"/>
      <c r="E121" s="18"/>
      <c r="F121" s="18"/>
      <c r="G121" s="24" t="str">
        <f t="shared" si="0"/>
        <v/>
      </c>
      <c r="H121" s="18"/>
      <c r="I121" s="39"/>
      <c r="J121" s="18"/>
      <c r="K121" s="18"/>
      <c r="L121" s="18"/>
      <c r="M121" s="18"/>
      <c r="N121" s="43" t="str">
        <f>IF(COUNTA(B121)&gt;0,C5,"")</f>
        <v/>
      </c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7"/>
      <c r="AC121" s="18"/>
      <c r="AD121" s="18"/>
      <c r="AE121" s="18"/>
      <c r="AF121" s="18"/>
      <c r="AG121" s="39"/>
      <c r="AH121" s="18"/>
      <c r="AI121" s="18"/>
      <c r="AJ121" s="18"/>
      <c r="AK121" s="18"/>
      <c r="AL121" s="18"/>
      <c r="AM121" s="17"/>
      <c r="AO121" t="str">
        <f t="shared" si="2"/>
        <v/>
      </c>
    </row>
    <row r="122" spans="1:41" ht="15" x14ac:dyDescent="0.2">
      <c r="A122" s="41" t="str">
        <f>IF(COUNTA(B122)&gt;0,114,"")</f>
        <v/>
      </c>
      <c r="B122" s="18"/>
      <c r="C122" s="18"/>
      <c r="D122" s="18"/>
      <c r="E122" s="18"/>
      <c r="F122" s="18"/>
      <c r="G122" s="24" t="str">
        <f t="shared" si="0"/>
        <v/>
      </c>
      <c r="H122" s="18"/>
      <c r="I122" s="39"/>
      <c r="J122" s="18"/>
      <c r="K122" s="18"/>
      <c r="L122" s="18"/>
      <c r="M122" s="18"/>
      <c r="N122" s="43" t="str">
        <f>IF(COUNTA(B122)&gt;0,C5,"")</f>
        <v/>
      </c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7"/>
      <c r="AC122" s="18"/>
      <c r="AD122" s="18"/>
      <c r="AE122" s="18"/>
      <c r="AF122" s="18"/>
      <c r="AG122" s="39"/>
      <c r="AH122" s="18"/>
      <c r="AI122" s="18"/>
      <c r="AJ122" s="18"/>
      <c r="AK122" s="18"/>
      <c r="AL122" s="18"/>
      <c r="AM122" s="17"/>
      <c r="AO122" t="str">
        <f t="shared" si="2"/>
        <v/>
      </c>
    </row>
    <row r="123" spans="1:41" ht="15" x14ac:dyDescent="0.2">
      <c r="A123" s="41" t="str">
        <f>IF(COUNTA(B123)&gt;0,115,"")</f>
        <v/>
      </c>
      <c r="B123" s="18"/>
      <c r="C123" s="18"/>
      <c r="D123" s="18"/>
      <c r="E123" s="18"/>
      <c r="F123" s="18"/>
      <c r="G123" s="24" t="str">
        <f t="shared" si="0"/>
        <v/>
      </c>
      <c r="H123" s="18"/>
      <c r="I123" s="39"/>
      <c r="J123" s="18"/>
      <c r="K123" s="18"/>
      <c r="L123" s="18"/>
      <c r="M123" s="18"/>
      <c r="N123" s="43" t="str">
        <f>IF(COUNTA(B123)&gt;0,C5,"")</f>
        <v/>
      </c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7"/>
      <c r="AC123" s="18"/>
      <c r="AD123" s="18"/>
      <c r="AE123" s="18"/>
      <c r="AF123" s="18"/>
      <c r="AG123" s="39"/>
      <c r="AH123" s="18"/>
      <c r="AI123" s="18"/>
      <c r="AJ123" s="18"/>
      <c r="AK123" s="18"/>
      <c r="AL123" s="18"/>
      <c r="AM123" s="17"/>
      <c r="AO123" t="str">
        <f t="shared" si="2"/>
        <v/>
      </c>
    </row>
    <row r="124" spans="1:41" ht="15" x14ac:dyDescent="0.2">
      <c r="A124" s="41" t="str">
        <f>IF(COUNTA(B124)&gt;0,116,"")</f>
        <v/>
      </c>
      <c r="B124" s="18"/>
      <c r="C124" s="18"/>
      <c r="D124" s="18"/>
      <c r="E124" s="18"/>
      <c r="F124" s="18"/>
      <c r="G124" s="24" t="str">
        <f t="shared" si="0"/>
        <v/>
      </c>
      <c r="H124" s="18"/>
      <c r="I124" s="39"/>
      <c r="J124" s="18"/>
      <c r="K124" s="18"/>
      <c r="L124" s="18"/>
      <c r="M124" s="18"/>
      <c r="N124" s="43" t="str">
        <f>IF(COUNTA(B124)&gt;0,C5,"")</f>
        <v/>
      </c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7"/>
      <c r="AC124" s="18"/>
      <c r="AD124" s="18"/>
      <c r="AE124" s="18"/>
      <c r="AF124" s="18"/>
      <c r="AG124" s="39"/>
      <c r="AH124" s="18"/>
      <c r="AI124" s="18"/>
      <c r="AJ124" s="18"/>
      <c r="AK124" s="18"/>
      <c r="AL124" s="18"/>
      <c r="AM124" s="17"/>
      <c r="AO124" t="str">
        <f t="shared" si="2"/>
        <v/>
      </c>
    </row>
    <row r="125" spans="1:41" ht="15" x14ac:dyDescent="0.2">
      <c r="A125" s="41" t="str">
        <f>IF(COUNTA(B125)&gt;0,117,"")</f>
        <v/>
      </c>
      <c r="B125" s="18"/>
      <c r="C125" s="18"/>
      <c r="D125" s="18"/>
      <c r="E125" s="18"/>
      <c r="F125" s="18"/>
      <c r="G125" s="24" t="str">
        <f t="shared" si="0"/>
        <v/>
      </c>
      <c r="H125" s="18"/>
      <c r="I125" s="39"/>
      <c r="J125" s="18"/>
      <c r="K125" s="18"/>
      <c r="L125" s="18"/>
      <c r="M125" s="18"/>
      <c r="N125" s="43" t="str">
        <f>IF(COUNTA(B125)&gt;0,C5,"")</f>
        <v/>
      </c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7"/>
      <c r="AC125" s="18"/>
      <c r="AD125" s="18"/>
      <c r="AE125" s="18"/>
      <c r="AF125" s="18"/>
      <c r="AG125" s="39"/>
      <c r="AH125" s="18"/>
      <c r="AI125" s="18"/>
      <c r="AJ125" s="18"/>
      <c r="AK125" s="18"/>
      <c r="AL125" s="18"/>
      <c r="AM125" s="17"/>
      <c r="AO125" t="str">
        <f t="shared" si="2"/>
        <v/>
      </c>
    </row>
    <row r="126" spans="1:41" ht="15" x14ac:dyDescent="0.2">
      <c r="A126" s="41" t="str">
        <f>IF(COUNTA(B126)&gt;0,118,"")</f>
        <v/>
      </c>
      <c r="B126" s="18"/>
      <c r="C126" s="18"/>
      <c r="D126" s="18"/>
      <c r="E126" s="18"/>
      <c r="F126" s="18"/>
      <c r="G126" s="24" t="str">
        <f t="shared" si="0"/>
        <v/>
      </c>
      <c r="H126" s="18"/>
      <c r="I126" s="39"/>
      <c r="J126" s="18"/>
      <c r="K126" s="18"/>
      <c r="L126" s="18"/>
      <c r="M126" s="18"/>
      <c r="N126" s="43" t="str">
        <f>IF(COUNTA(B126)&gt;0,C5,"")</f>
        <v/>
      </c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7"/>
      <c r="AC126" s="18"/>
      <c r="AD126" s="18"/>
      <c r="AE126" s="18"/>
      <c r="AF126" s="18"/>
      <c r="AG126" s="39"/>
      <c r="AH126" s="18"/>
      <c r="AI126" s="18"/>
      <c r="AJ126" s="18"/>
      <c r="AK126" s="18"/>
      <c r="AL126" s="18"/>
      <c r="AM126" s="17"/>
      <c r="AO126" t="str">
        <f t="shared" si="2"/>
        <v/>
      </c>
    </row>
    <row r="127" spans="1:41" ht="15" x14ac:dyDescent="0.2">
      <c r="A127" s="41" t="str">
        <f>IF(COUNTA(B127)&gt;0,119,"")</f>
        <v/>
      </c>
      <c r="B127" s="18"/>
      <c r="C127" s="18"/>
      <c r="D127" s="18"/>
      <c r="E127" s="18"/>
      <c r="F127" s="18"/>
      <c r="G127" s="24" t="str">
        <f t="shared" si="0"/>
        <v/>
      </c>
      <c r="H127" s="18"/>
      <c r="I127" s="39"/>
      <c r="J127" s="18"/>
      <c r="K127" s="18"/>
      <c r="L127" s="18"/>
      <c r="M127" s="18"/>
      <c r="N127" s="43" t="str">
        <f>IF(COUNTA(B127)&gt;0,C5,"")</f>
        <v/>
      </c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7"/>
      <c r="AC127" s="18"/>
      <c r="AD127" s="18"/>
      <c r="AE127" s="18"/>
      <c r="AF127" s="18"/>
      <c r="AG127" s="39"/>
      <c r="AH127" s="18"/>
      <c r="AI127" s="18"/>
      <c r="AJ127" s="18"/>
      <c r="AK127" s="18"/>
      <c r="AL127" s="18"/>
      <c r="AM127" s="17"/>
      <c r="AO127" t="str">
        <f t="shared" si="2"/>
        <v/>
      </c>
    </row>
    <row r="128" spans="1:41" ht="15" x14ac:dyDescent="0.2">
      <c r="A128" s="41" t="str">
        <f>IF(COUNTA(B128)&gt;0,120,"")</f>
        <v/>
      </c>
      <c r="B128" s="18"/>
      <c r="C128" s="18"/>
      <c r="D128" s="18"/>
      <c r="E128" s="18"/>
      <c r="F128" s="18"/>
      <c r="G128" s="24" t="str">
        <f t="shared" si="0"/>
        <v/>
      </c>
      <c r="H128" s="18"/>
      <c r="I128" s="39"/>
      <c r="J128" s="18"/>
      <c r="K128" s="18"/>
      <c r="L128" s="18"/>
      <c r="M128" s="18"/>
      <c r="N128" s="43" t="str">
        <f>IF(COUNTA(B128)&gt;0,C5,"")</f>
        <v/>
      </c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7"/>
      <c r="AC128" s="18"/>
      <c r="AD128" s="18"/>
      <c r="AE128" s="18"/>
      <c r="AF128" s="18"/>
      <c r="AG128" s="39"/>
      <c r="AH128" s="18"/>
      <c r="AI128" s="18"/>
      <c r="AJ128" s="18"/>
      <c r="AK128" s="18"/>
      <c r="AL128" s="18"/>
      <c r="AM128" s="17"/>
      <c r="AO128" t="str">
        <f t="shared" si="2"/>
        <v/>
      </c>
    </row>
    <row r="129" spans="1:41" ht="15" x14ac:dyDescent="0.2">
      <c r="A129" s="41" t="str">
        <f>IF(COUNTA(B129)&gt;0,121,"")</f>
        <v/>
      </c>
      <c r="B129" s="18"/>
      <c r="C129" s="18"/>
      <c r="D129" s="18"/>
      <c r="E129" s="18"/>
      <c r="F129" s="18"/>
      <c r="G129" s="24" t="str">
        <f t="shared" si="0"/>
        <v/>
      </c>
      <c r="H129" s="18"/>
      <c r="I129" s="39"/>
      <c r="J129" s="18"/>
      <c r="K129" s="18"/>
      <c r="L129" s="18"/>
      <c r="M129" s="18"/>
      <c r="N129" s="43" t="str">
        <f>IF(COUNTA(B129)&gt;0,C5,"")</f>
        <v/>
      </c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7"/>
      <c r="AC129" s="18"/>
      <c r="AD129" s="18"/>
      <c r="AE129" s="18"/>
      <c r="AF129" s="18"/>
      <c r="AG129" s="39"/>
      <c r="AH129" s="18"/>
      <c r="AI129" s="18"/>
      <c r="AJ129" s="18"/>
      <c r="AK129" s="18"/>
      <c r="AL129" s="18"/>
      <c r="AM129" s="17"/>
      <c r="AO129" t="str">
        <f t="shared" si="2"/>
        <v/>
      </c>
    </row>
    <row r="130" spans="1:41" ht="15" x14ac:dyDescent="0.2">
      <c r="A130" s="41" t="str">
        <f>IF(COUNTA(B130)&gt;0,122,"")</f>
        <v/>
      </c>
      <c r="B130" s="18"/>
      <c r="C130" s="18"/>
      <c r="D130" s="18"/>
      <c r="E130" s="18"/>
      <c r="F130" s="18"/>
      <c r="G130" s="24" t="str">
        <f t="shared" si="0"/>
        <v/>
      </c>
      <c r="H130" s="18"/>
      <c r="I130" s="39"/>
      <c r="J130" s="18"/>
      <c r="K130" s="18"/>
      <c r="L130" s="18"/>
      <c r="M130" s="18"/>
      <c r="N130" s="43" t="str">
        <f>IF(COUNTA(B130)&gt;0,C5,"")</f>
        <v/>
      </c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7"/>
      <c r="AC130" s="18"/>
      <c r="AD130" s="18"/>
      <c r="AE130" s="18"/>
      <c r="AF130" s="18"/>
      <c r="AG130" s="39"/>
      <c r="AH130" s="18"/>
      <c r="AI130" s="18"/>
      <c r="AJ130" s="18"/>
      <c r="AK130" s="18"/>
      <c r="AL130" s="18"/>
      <c r="AM130" s="17"/>
      <c r="AO130" t="str">
        <f t="shared" si="2"/>
        <v/>
      </c>
    </row>
    <row r="131" spans="1:41" ht="15" x14ac:dyDescent="0.2">
      <c r="A131" s="41" t="str">
        <f>IF(COUNTA(B131)&gt;0,123,"")</f>
        <v/>
      </c>
      <c r="B131" s="18"/>
      <c r="C131" s="18"/>
      <c r="D131" s="18"/>
      <c r="E131" s="18"/>
      <c r="F131" s="18"/>
      <c r="G131" s="24" t="str">
        <f t="shared" si="0"/>
        <v/>
      </c>
      <c r="H131" s="18"/>
      <c r="I131" s="39"/>
      <c r="J131" s="18"/>
      <c r="K131" s="18"/>
      <c r="L131" s="18"/>
      <c r="M131" s="18"/>
      <c r="N131" s="43" t="str">
        <f>IF(COUNTA(B131)&gt;0,C5,"")</f>
        <v/>
      </c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7"/>
      <c r="AC131" s="18"/>
      <c r="AD131" s="18"/>
      <c r="AE131" s="18"/>
      <c r="AF131" s="18"/>
      <c r="AG131" s="39"/>
      <c r="AH131" s="18"/>
      <c r="AI131" s="18"/>
      <c r="AJ131" s="18"/>
      <c r="AK131" s="18"/>
      <c r="AL131" s="18"/>
      <c r="AM131" s="17"/>
      <c r="AO131" t="str">
        <f t="shared" si="2"/>
        <v/>
      </c>
    </row>
    <row r="132" spans="1:41" ht="15" x14ac:dyDescent="0.2">
      <c r="A132" s="41" t="str">
        <f>IF(COUNTA(B132)&gt;0,124,"")</f>
        <v/>
      </c>
      <c r="B132" s="18"/>
      <c r="C132" s="18"/>
      <c r="D132" s="18"/>
      <c r="E132" s="18"/>
      <c r="F132" s="18"/>
      <c r="G132" s="24" t="str">
        <f t="shared" si="0"/>
        <v/>
      </c>
      <c r="H132" s="18"/>
      <c r="I132" s="39"/>
      <c r="J132" s="18"/>
      <c r="K132" s="18"/>
      <c r="L132" s="18"/>
      <c r="M132" s="18"/>
      <c r="N132" s="43" t="str">
        <f>IF(COUNTA(B132)&gt;0,C5,"")</f>
        <v/>
      </c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7"/>
      <c r="AC132" s="18"/>
      <c r="AD132" s="18"/>
      <c r="AE132" s="18"/>
      <c r="AF132" s="18"/>
      <c r="AG132" s="39"/>
      <c r="AH132" s="18"/>
      <c r="AI132" s="18"/>
      <c r="AJ132" s="18"/>
      <c r="AK132" s="18"/>
      <c r="AL132" s="18"/>
      <c r="AM132" s="17"/>
      <c r="AO132" t="str">
        <f t="shared" si="2"/>
        <v/>
      </c>
    </row>
    <row r="133" spans="1:41" ht="15" x14ac:dyDescent="0.2">
      <c r="A133" s="41" t="str">
        <f>IF(COUNTA(B133)&gt;0,125,"")</f>
        <v/>
      </c>
      <c r="B133" s="18"/>
      <c r="C133" s="18"/>
      <c r="D133" s="18"/>
      <c r="E133" s="18"/>
      <c r="F133" s="18"/>
      <c r="G133" s="24" t="str">
        <f t="shared" si="0"/>
        <v/>
      </c>
      <c r="H133" s="18"/>
      <c r="I133" s="39"/>
      <c r="J133" s="18"/>
      <c r="K133" s="18"/>
      <c r="L133" s="18"/>
      <c r="M133" s="18"/>
      <c r="N133" s="43" t="str">
        <f>IF(COUNTA(B133)&gt;0,C5,"")</f>
        <v/>
      </c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7"/>
      <c r="AC133" s="18"/>
      <c r="AD133" s="18"/>
      <c r="AE133" s="18"/>
      <c r="AF133" s="18"/>
      <c r="AG133" s="39"/>
      <c r="AH133" s="18"/>
      <c r="AI133" s="18"/>
      <c r="AJ133" s="18"/>
      <c r="AK133" s="18"/>
      <c r="AL133" s="18"/>
      <c r="AM133" s="17"/>
      <c r="AO133" t="str">
        <f t="shared" si="2"/>
        <v/>
      </c>
    </row>
    <row r="134" spans="1:41" ht="15" x14ac:dyDescent="0.2">
      <c r="A134" s="41" t="str">
        <f>IF(COUNTA(B134)&gt;0,126,"")</f>
        <v/>
      </c>
      <c r="B134" s="18"/>
      <c r="C134" s="18"/>
      <c r="D134" s="18"/>
      <c r="E134" s="18"/>
      <c r="F134" s="18"/>
      <c r="G134" s="24" t="str">
        <f t="shared" si="0"/>
        <v/>
      </c>
      <c r="H134" s="18"/>
      <c r="I134" s="39"/>
      <c r="J134" s="18"/>
      <c r="K134" s="18"/>
      <c r="L134" s="18"/>
      <c r="M134" s="18"/>
      <c r="N134" s="43" t="str">
        <f>IF(COUNTA(B134)&gt;0,C5,"")</f>
        <v/>
      </c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7"/>
      <c r="AC134" s="18"/>
      <c r="AD134" s="18"/>
      <c r="AE134" s="18"/>
      <c r="AF134" s="18"/>
      <c r="AG134" s="39"/>
      <c r="AH134" s="18"/>
      <c r="AI134" s="18"/>
      <c r="AJ134" s="18"/>
      <c r="AK134" s="18"/>
      <c r="AL134" s="18"/>
      <c r="AM134" s="17"/>
      <c r="AO134" t="str">
        <f t="shared" si="2"/>
        <v/>
      </c>
    </row>
    <row r="135" spans="1:41" ht="15" x14ac:dyDescent="0.2">
      <c r="A135" s="41" t="str">
        <f>IF(COUNTA(B135)&gt;0,127,"")</f>
        <v/>
      </c>
      <c r="B135" s="18"/>
      <c r="C135" s="18"/>
      <c r="D135" s="18"/>
      <c r="E135" s="18"/>
      <c r="F135" s="18"/>
      <c r="G135" s="24" t="str">
        <f t="shared" si="0"/>
        <v/>
      </c>
      <c r="H135" s="18"/>
      <c r="I135" s="39"/>
      <c r="J135" s="18"/>
      <c r="K135" s="18"/>
      <c r="L135" s="18"/>
      <c r="M135" s="18"/>
      <c r="N135" s="43" t="str">
        <f>IF(COUNTA(B135)&gt;0,C5,"")</f>
        <v/>
      </c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7"/>
      <c r="AC135" s="18"/>
      <c r="AD135" s="18"/>
      <c r="AE135" s="18"/>
      <c r="AF135" s="18"/>
      <c r="AG135" s="39"/>
      <c r="AH135" s="18"/>
      <c r="AI135" s="18"/>
      <c r="AJ135" s="18"/>
      <c r="AK135" s="18"/>
      <c r="AL135" s="18"/>
      <c r="AM135" s="17"/>
      <c r="AO135" t="str">
        <f t="shared" si="2"/>
        <v/>
      </c>
    </row>
    <row r="136" spans="1:41" ht="15" x14ac:dyDescent="0.2">
      <c r="A136" s="41" t="str">
        <f>IF(COUNTA(B136)&gt;0,128,"")</f>
        <v/>
      </c>
      <c r="B136" s="18"/>
      <c r="C136" s="18"/>
      <c r="D136" s="18"/>
      <c r="E136" s="18"/>
      <c r="F136" s="18"/>
      <c r="G136" s="24" t="str">
        <f t="shared" si="0"/>
        <v/>
      </c>
      <c r="H136" s="18"/>
      <c r="I136" s="39"/>
      <c r="J136" s="18"/>
      <c r="K136" s="18"/>
      <c r="L136" s="18"/>
      <c r="M136" s="18"/>
      <c r="N136" s="43" t="str">
        <f>IF(COUNTA(B136)&gt;0,C5,"")</f>
        <v/>
      </c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7"/>
      <c r="AC136" s="18"/>
      <c r="AD136" s="18"/>
      <c r="AE136" s="18"/>
      <c r="AF136" s="18"/>
      <c r="AG136" s="39"/>
      <c r="AH136" s="18"/>
      <c r="AI136" s="18"/>
      <c r="AJ136" s="18"/>
      <c r="AK136" s="18"/>
      <c r="AL136" s="18"/>
      <c r="AM136" s="17"/>
      <c r="AO136" t="str">
        <f t="shared" si="2"/>
        <v/>
      </c>
    </row>
    <row r="137" spans="1:41" ht="15" x14ac:dyDescent="0.2">
      <c r="A137" s="41" t="str">
        <f>IF(COUNTA(B137)&gt;0,129,"")</f>
        <v/>
      </c>
      <c r="B137" s="18"/>
      <c r="C137" s="18"/>
      <c r="D137" s="18"/>
      <c r="E137" s="18"/>
      <c r="F137" s="18"/>
      <c r="G137" s="24" t="str">
        <f t="shared" si="0"/>
        <v/>
      </c>
      <c r="H137" s="18"/>
      <c r="I137" s="39"/>
      <c r="J137" s="18"/>
      <c r="K137" s="18"/>
      <c r="L137" s="18"/>
      <c r="M137" s="18"/>
      <c r="N137" s="43" t="str">
        <f>IF(COUNTA(B137)&gt;0,C5,"")</f>
        <v/>
      </c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7"/>
      <c r="AC137" s="18"/>
      <c r="AD137" s="18"/>
      <c r="AE137" s="18"/>
      <c r="AF137" s="18"/>
      <c r="AG137" s="39"/>
      <c r="AH137" s="18"/>
      <c r="AI137" s="18"/>
      <c r="AJ137" s="18"/>
      <c r="AK137" s="18"/>
      <c r="AL137" s="18"/>
      <c r="AM137" s="17"/>
      <c r="AO137" t="str">
        <f t="shared" ref="AO137:AO200" si="3">IF(COUNTA(L137:M137)&lt;&gt;0,"Có",IF(COUNTA(B137)&gt;0,"Không",""))</f>
        <v/>
      </c>
    </row>
    <row r="138" spans="1:41" ht="15" x14ac:dyDescent="0.2">
      <c r="A138" s="41" t="str">
        <f>IF(COUNTA(B138)&gt;0,130,"")</f>
        <v/>
      </c>
      <c r="B138" s="18"/>
      <c r="C138" s="18"/>
      <c r="D138" s="18"/>
      <c r="E138" s="18"/>
      <c r="F138" s="18"/>
      <c r="G138" s="24" t="str">
        <f t="shared" si="0"/>
        <v/>
      </c>
      <c r="H138" s="18"/>
      <c r="I138" s="39"/>
      <c r="J138" s="18"/>
      <c r="K138" s="18"/>
      <c r="L138" s="18"/>
      <c r="M138" s="18"/>
      <c r="N138" s="43" t="str">
        <f>IF(COUNTA(B138)&gt;0,C5,"")</f>
        <v/>
      </c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7"/>
      <c r="AC138" s="18"/>
      <c r="AD138" s="18"/>
      <c r="AE138" s="18"/>
      <c r="AF138" s="18"/>
      <c r="AG138" s="39"/>
      <c r="AH138" s="18"/>
      <c r="AI138" s="18"/>
      <c r="AJ138" s="18"/>
      <c r="AK138" s="18"/>
      <c r="AL138" s="18"/>
      <c r="AM138" s="17"/>
      <c r="AO138" t="str">
        <f t="shared" si="3"/>
        <v/>
      </c>
    </row>
    <row r="139" spans="1:41" ht="15" x14ac:dyDescent="0.2">
      <c r="A139" s="41" t="str">
        <f>IF(COUNTA(B139)&gt;0,131,"")</f>
        <v/>
      </c>
      <c r="B139" s="18"/>
      <c r="C139" s="18"/>
      <c r="D139" s="18"/>
      <c r="E139" s="18"/>
      <c r="F139" s="18"/>
      <c r="G139" s="24" t="str">
        <f t="shared" si="0"/>
        <v/>
      </c>
      <c r="H139" s="18"/>
      <c r="I139" s="39"/>
      <c r="J139" s="18"/>
      <c r="K139" s="18"/>
      <c r="L139" s="18"/>
      <c r="M139" s="18"/>
      <c r="N139" s="43" t="str">
        <f>IF(COUNTA(B139)&gt;0,C5,"")</f>
        <v/>
      </c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7"/>
      <c r="AC139" s="18"/>
      <c r="AD139" s="18"/>
      <c r="AE139" s="18"/>
      <c r="AF139" s="18"/>
      <c r="AG139" s="39"/>
      <c r="AH139" s="18"/>
      <c r="AI139" s="18"/>
      <c r="AJ139" s="18"/>
      <c r="AK139" s="18"/>
      <c r="AL139" s="18"/>
      <c r="AM139" s="17"/>
      <c r="AO139" t="str">
        <f t="shared" si="3"/>
        <v/>
      </c>
    </row>
    <row r="140" spans="1:41" ht="15" x14ac:dyDescent="0.2">
      <c r="A140" s="41" t="str">
        <f>IF(COUNTA(B140)&gt;0,132,"")</f>
        <v/>
      </c>
      <c r="B140" s="18"/>
      <c r="C140" s="18"/>
      <c r="D140" s="18"/>
      <c r="E140" s="18"/>
      <c r="F140" s="18"/>
      <c r="G140" s="24" t="str">
        <f t="shared" si="0"/>
        <v/>
      </c>
      <c r="H140" s="18"/>
      <c r="I140" s="39"/>
      <c r="J140" s="18"/>
      <c r="K140" s="18"/>
      <c r="L140" s="18"/>
      <c r="M140" s="18"/>
      <c r="N140" s="43" t="str">
        <f>IF(COUNTA(B140)&gt;0,C5,"")</f>
        <v/>
      </c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7"/>
      <c r="AC140" s="18"/>
      <c r="AD140" s="18"/>
      <c r="AE140" s="18"/>
      <c r="AF140" s="18"/>
      <c r="AG140" s="39"/>
      <c r="AH140" s="18"/>
      <c r="AI140" s="18"/>
      <c r="AJ140" s="18"/>
      <c r="AK140" s="18"/>
      <c r="AL140" s="18"/>
      <c r="AM140" s="17"/>
      <c r="AO140" t="str">
        <f t="shared" si="3"/>
        <v/>
      </c>
    </row>
    <row r="141" spans="1:41" ht="15" x14ac:dyDescent="0.2">
      <c r="A141" s="41" t="str">
        <f>IF(COUNTA(B141)&gt;0,133,"")</f>
        <v/>
      </c>
      <c r="B141" s="18"/>
      <c r="C141" s="18"/>
      <c r="D141" s="18"/>
      <c r="E141" s="18"/>
      <c r="F141" s="18"/>
      <c r="G141" s="24" t="str">
        <f t="shared" si="0"/>
        <v/>
      </c>
      <c r="H141" s="18"/>
      <c r="I141" s="39"/>
      <c r="J141" s="18"/>
      <c r="K141" s="18"/>
      <c r="L141" s="18"/>
      <c r="M141" s="18"/>
      <c r="N141" s="43" t="str">
        <f>IF(COUNTA(B141)&gt;0,C5,"")</f>
        <v/>
      </c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7"/>
      <c r="AC141" s="18"/>
      <c r="AD141" s="18"/>
      <c r="AE141" s="18"/>
      <c r="AF141" s="18"/>
      <c r="AG141" s="39"/>
      <c r="AH141" s="18"/>
      <c r="AI141" s="18"/>
      <c r="AJ141" s="18"/>
      <c r="AK141" s="18"/>
      <c r="AL141" s="18"/>
      <c r="AM141" s="17"/>
      <c r="AO141" t="str">
        <f t="shared" si="3"/>
        <v/>
      </c>
    </row>
    <row r="142" spans="1:41" ht="15" x14ac:dyDescent="0.2">
      <c r="A142" s="41" t="str">
        <f>IF(COUNTA(B142)&gt;0,134,"")</f>
        <v/>
      </c>
      <c r="B142" s="18"/>
      <c r="C142" s="18"/>
      <c r="D142" s="18"/>
      <c r="E142" s="18"/>
      <c r="F142" s="18"/>
      <c r="G142" s="24" t="str">
        <f t="shared" si="0"/>
        <v/>
      </c>
      <c r="H142" s="18"/>
      <c r="I142" s="39"/>
      <c r="J142" s="18"/>
      <c r="K142" s="18"/>
      <c r="L142" s="18"/>
      <c r="M142" s="18"/>
      <c r="N142" s="43" t="str">
        <f>IF(COUNTA(B142)&gt;0,C5,"")</f>
        <v/>
      </c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7"/>
      <c r="AC142" s="18"/>
      <c r="AD142" s="18"/>
      <c r="AE142" s="18"/>
      <c r="AF142" s="18"/>
      <c r="AG142" s="39"/>
      <c r="AH142" s="18"/>
      <c r="AI142" s="18"/>
      <c r="AJ142" s="18"/>
      <c r="AK142" s="18"/>
      <c r="AL142" s="18"/>
      <c r="AM142" s="17"/>
      <c r="AO142" t="str">
        <f t="shared" si="3"/>
        <v/>
      </c>
    </row>
    <row r="143" spans="1:41" ht="15" x14ac:dyDescent="0.2">
      <c r="A143" s="41" t="str">
        <f>IF(COUNTA(B143)&gt;0,135,"")</f>
        <v/>
      </c>
      <c r="B143" s="18"/>
      <c r="C143" s="18"/>
      <c r="D143" s="18"/>
      <c r="E143" s="18"/>
      <c r="F143" s="18"/>
      <c r="G143" s="24" t="str">
        <f t="shared" si="0"/>
        <v/>
      </c>
      <c r="H143" s="18"/>
      <c r="I143" s="39"/>
      <c r="J143" s="18"/>
      <c r="K143" s="18"/>
      <c r="L143" s="18"/>
      <c r="M143" s="18"/>
      <c r="N143" s="43" t="str">
        <f>IF(COUNTA(B143)&gt;0,C5,"")</f>
        <v/>
      </c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7"/>
      <c r="AC143" s="18"/>
      <c r="AD143" s="18"/>
      <c r="AE143" s="18"/>
      <c r="AF143" s="18"/>
      <c r="AG143" s="39"/>
      <c r="AH143" s="18"/>
      <c r="AI143" s="18"/>
      <c r="AJ143" s="18"/>
      <c r="AK143" s="18"/>
      <c r="AL143" s="18"/>
      <c r="AM143" s="17"/>
      <c r="AO143" t="str">
        <f t="shared" si="3"/>
        <v/>
      </c>
    </row>
    <row r="144" spans="1:41" ht="15" x14ac:dyDescent="0.2">
      <c r="A144" s="41" t="str">
        <f>IF(COUNTA(B144)&gt;0,136,"")</f>
        <v/>
      </c>
      <c r="B144" s="18"/>
      <c r="C144" s="18"/>
      <c r="D144" s="18"/>
      <c r="E144" s="18"/>
      <c r="F144" s="18"/>
      <c r="G144" s="24" t="str">
        <f t="shared" si="0"/>
        <v/>
      </c>
      <c r="H144" s="18"/>
      <c r="I144" s="39"/>
      <c r="J144" s="18"/>
      <c r="K144" s="18"/>
      <c r="L144" s="18"/>
      <c r="M144" s="18"/>
      <c r="N144" s="43" t="str">
        <f>IF(COUNTA(B144)&gt;0,C5,"")</f>
        <v/>
      </c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7"/>
      <c r="AC144" s="18"/>
      <c r="AD144" s="18"/>
      <c r="AE144" s="18"/>
      <c r="AF144" s="18"/>
      <c r="AG144" s="39"/>
      <c r="AH144" s="18"/>
      <c r="AI144" s="18"/>
      <c r="AJ144" s="18"/>
      <c r="AK144" s="18"/>
      <c r="AL144" s="18"/>
      <c r="AM144" s="17"/>
      <c r="AO144" t="str">
        <f t="shared" si="3"/>
        <v/>
      </c>
    </row>
    <row r="145" spans="1:41" ht="15" x14ac:dyDescent="0.2">
      <c r="A145" s="41" t="str">
        <f>IF(COUNTA(B145)&gt;0,137,"")</f>
        <v/>
      </c>
      <c r="B145" s="18"/>
      <c r="C145" s="18"/>
      <c r="D145" s="18"/>
      <c r="E145" s="18"/>
      <c r="F145" s="18"/>
      <c r="G145" s="24" t="str">
        <f t="shared" si="0"/>
        <v/>
      </c>
      <c r="H145" s="18"/>
      <c r="I145" s="39"/>
      <c r="J145" s="18"/>
      <c r="K145" s="18"/>
      <c r="L145" s="18"/>
      <c r="M145" s="18"/>
      <c r="N145" s="43" t="str">
        <f>IF(COUNTA(B145)&gt;0,C5,"")</f>
        <v/>
      </c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7"/>
      <c r="AC145" s="18"/>
      <c r="AD145" s="18"/>
      <c r="AE145" s="18"/>
      <c r="AF145" s="18"/>
      <c r="AG145" s="39"/>
      <c r="AH145" s="18"/>
      <c r="AI145" s="18"/>
      <c r="AJ145" s="18"/>
      <c r="AK145" s="18"/>
      <c r="AL145" s="18"/>
      <c r="AM145" s="17"/>
      <c r="AO145" t="str">
        <f t="shared" si="3"/>
        <v/>
      </c>
    </row>
    <row r="146" spans="1:41" ht="15" x14ac:dyDescent="0.2">
      <c r="A146" s="41" t="str">
        <f>IF(COUNTA(B146)&gt;0,138,"")</f>
        <v/>
      </c>
      <c r="B146" s="18"/>
      <c r="C146" s="18"/>
      <c r="D146" s="18"/>
      <c r="E146" s="18"/>
      <c r="F146" s="18"/>
      <c r="G146" s="24" t="str">
        <f t="shared" si="0"/>
        <v/>
      </c>
      <c r="H146" s="18"/>
      <c r="I146" s="39"/>
      <c r="J146" s="18"/>
      <c r="K146" s="18"/>
      <c r="L146" s="18"/>
      <c r="M146" s="18"/>
      <c r="N146" s="43" t="str">
        <f>IF(COUNTA(B146)&gt;0,C5,"")</f>
        <v/>
      </c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7"/>
      <c r="AC146" s="18"/>
      <c r="AD146" s="18"/>
      <c r="AE146" s="18"/>
      <c r="AF146" s="18"/>
      <c r="AG146" s="39"/>
      <c r="AH146" s="18"/>
      <c r="AI146" s="18"/>
      <c r="AJ146" s="18"/>
      <c r="AK146" s="18"/>
      <c r="AL146" s="18"/>
      <c r="AM146" s="17"/>
      <c r="AO146" t="str">
        <f t="shared" si="3"/>
        <v/>
      </c>
    </row>
    <row r="147" spans="1:41" ht="15" x14ac:dyDescent="0.2">
      <c r="A147" s="41" t="str">
        <f>IF(COUNTA(B147)&gt;0,139,"")</f>
        <v/>
      </c>
      <c r="B147" s="18"/>
      <c r="C147" s="18"/>
      <c r="D147" s="18"/>
      <c r="E147" s="18"/>
      <c r="F147" s="18"/>
      <c r="G147" s="24" t="str">
        <f t="shared" si="0"/>
        <v/>
      </c>
      <c r="H147" s="18"/>
      <c r="I147" s="39"/>
      <c r="J147" s="18"/>
      <c r="K147" s="18"/>
      <c r="L147" s="18"/>
      <c r="M147" s="18"/>
      <c r="N147" s="43" t="str">
        <f>IF(COUNTA(B147)&gt;0,C5,"")</f>
        <v/>
      </c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7"/>
      <c r="AC147" s="18"/>
      <c r="AD147" s="18"/>
      <c r="AE147" s="18"/>
      <c r="AF147" s="18"/>
      <c r="AG147" s="39"/>
      <c r="AH147" s="18"/>
      <c r="AI147" s="18"/>
      <c r="AJ147" s="18"/>
      <c r="AK147" s="18"/>
      <c r="AL147" s="18"/>
      <c r="AM147" s="17"/>
      <c r="AO147" t="str">
        <f t="shared" si="3"/>
        <v/>
      </c>
    </row>
    <row r="148" spans="1:41" ht="15" x14ac:dyDescent="0.2">
      <c r="A148" s="41" t="str">
        <f>IF(COUNTA(B148)&gt;0,140,"")</f>
        <v/>
      </c>
      <c r="B148" s="18"/>
      <c r="C148" s="18"/>
      <c r="D148" s="18"/>
      <c r="E148" s="18"/>
      <c r="F148" s="18"/>
      <c r="G148" s="24" t="str">
        <f t="shared" si="0"/>
        <v/>
      </c>
      <c r="H148" s="18"/>
      <c r="I148" s="39"/>
      <c r="J148" s="18"/>
      <c r="K148" s="18"/>
      <c r="L148" s="18"/>
      <c r="M148" s="18"/>
      <c r="N148" s="43" t="str">
        <f>IF(COUNTA(B148)&gt;0,C5,"")</f>
        <v/>
      </c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7"/>
      <c r="AC148" s="18"/>
      <c r="AD148" s="18"/>
      <c r="AE148" s="18"/>
      <c r="AF148" s="18"/>
      <c r="AG148" s="39"/>
      <c r="AH148" s="18"/>
      <c r="AI148" s="18"/>
      <c r="AJ148" s="18"/>
      <c r="AK148" s="18"/>
      <c r="AL148" s="18"/>
      <c r="AM148" s="17"/>
      <c r="AO148" t="str">
        <f t="shared" si="3"/>
        <v/>
      </c>
    </row>
    <row r="149" spans="1:41" ht="15" x14ac:dyDescent="0.2">
      <c r="A149" s="41" t="str">
        <f>IF(COUNTA(B149)&gt;0,141,"")</f>
        <v/>
      </c>
      <c r="B149" s="18"/>
      <c r="C149" s="18"/>
      <c r="D149" s="18"/>
      <c r="E149" s="18"/>
      <c r="F149" s="18"/>
      <c r="G149" s="24" t="str">
        <f t="shared" si="0"/>
        <v/>
      </c>
      <c r="H149" s="18"/>
      <c r="I149" s="39"/>
      <c r="J149" s="18"/>
      <c r="K149" s="18"/>
      <c r="L149" s="18"/>
      <c r="M149" s="18"/>
      <c r="N149" s="43" t="str">
        <f>IF(COUNTA(B149)&gt;0,C5,"")</f>
        <v/>
      </c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7"/>
      <c r="AC149" s="18"/>
      <c r="AD149" s="18"/>
      <c r="AE149" s="18"/>
      <c r="AF149" s="18"/>
      <c r="AG149" s="39"/>
      <c r="AH149" s="18"/>
      <c r="AI149" s="18"/>
      <c r="AJ149" s="18"/>
      <c r="AK149" s="18"/>
      <c r="AL149" s="18"/>
      <c r="AM149" s="17"/>
      <c r="AO149" t="str">
        <f t="shared" si="3"/>
        <v/>
      </c>
    </row>
    <row r="150" spans="1:41" ht="15" x14ac:dyDescent="0.2">
      <c r="A150" s="41" t="str">
        <f>IF(COUNTA(B150)&gt;0,142,"")</f>
        <v/>
      </c>
      <c r="B150" s="18"/>
      <c r="C150" s="18"/>
      <c r="D150" s="18"/>
      <c r="E150" s="18"/>
      <c r="F150" s="18"/>
      <c r="G150" s="24" t="str">
        <f t="shared" si="0"/>
        <v/>
      </c>
      <c r="H150" s="18"/>
      <c r="I150" s="39"/>
      <c r="J150" s="18"/>
      <c r="K150" s="18"/>
      <c r="L150" s="18"/>
      <c r="M150" s="18"/>
      <c r="N150" s="43" t="str">
        <f>IF(COUNTA(B150)&gt;0,C5,"")</f>
        <v/>
      </c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7"/>
      <c r="AC150" s="18"/>
      <c r="AD150" s="18"/>
      <c r="AE150" s="18"/>
      <c r="AF150" s="18"/>
      <c r="AG150" s="39"/>
      <c r="AH150" s="18"/>
      <c r="AI150" s="18"/>
      <c r="AJ150" s="18"/>
      <c r="AK150" s="18"/>
      <c r="AL150" s="18"/>
      <c r="AM150" s="17"/>
      <c r="AO150" t="str">
        <f t="shared" si="3"/>
        <v/>
      </c>
    </row>
    <row r="151" spans="1:41" ht="15" x14ac:dyDescent="0.2">
      <c r="A151" s="41" t="str">
        <f>IF(COUNTA(B151)&gt;0,143,"")</f>
        <v/>
      </c>
      <c r="B151" s="18"/>
      <c r="C151" s="18"/>
      <c r="D151" s="18"/>
      <c r="E151" s="18"/>
      <c r="F151" s="18"/>
      <c r="G151" s="24" t="str">
        <f t="shared" si="0"/>
        <v/>
      </c>
      <c r="H151" s="18"/>
      <c r="I151" s="39"/>
      <c r="J151" s="18"/>
      <c r="K151" s="18"/>
      <c r="L151" s="18"/>
      <c r="M151" s="18"/>
      <c r="N151" s="43" t="str">
        <f>IF(COUNTA(B151)&gt;0,C5,"")</f>
        <v/>
      </c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7"/>
      <c r="AC151" s="18"/>
      <c r="AD151" s="18"/>
      <c r="AE151" s="18"/>
      <c r="AF151" s="18"/>
      <c r="AG151" s="39"/>
      <c r="AH151" s="18"/>
      <c r="AI151" s="18"/>
      <c r="AJ151" s="18"/>
      <c r="AK151" s="18"/>
      <c r="AL151" s="18"/>
      <c r="AM151" s="17"/>
      <c r="AO151" t="str">
        <f t="shared" si="3"/>
        <v/>
      </c>
    </row>
    <row r="152" spans="1:41" ht="15" x14ac:dyDescent="0.2">
      <c r="A152" s="41" t="str">
        <f>IF(COUNTA(B152)&gt;0,144,"")</f>
        <v/>
      </c>
      <c r="B152" s="18"/>
      <c r="C152" s="18"/>
      <c r="D152" s="18"/>
      <c r="E152" s="18"/>
      <c r="F152" s="18"/>
      <c r="G152" s="24" t="str">
        <f t="shared" si="0"/>
        <v/>
      </c>
      <c r="H152" s="18"/>
      <c r="I152" s="39"/>
      <c r="J152" s="18"/>
      <c r="K152" s="18"/>
      <c r="L152" s="18"/>
      <c r="M152" s="18"/>
      <c r="N152" s="43" t="str">
        <f>IF(COUNTA(B152)&gt;0,C5,"")</f>
        <v/>
      </c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7"/>
      <c r="AC152" s="18"/>
      <c r="AD152" s="18"/>
      <c r="AE152" s="18"/>
      <c r="AF152" s="18"/>
      <c r="AG152" s="39"/>
      <c r="AH152" s="18"/>
      <c r="AI152" s="18"/>
      <c r="AJ152" s="18"/>
      <c r="AK152" s="18"/>
      <c r="AL152" s="18"/>
      <c r="AM152" s="17"/>
      <c r="AO152" t="str">
        <f t="shared" si="3"/>
        <v/>
      </c>
    </row>
    <row r="153" spans="1:41" ht="15" x14ac:dyDescent="0.2">
      <c r="A153" s="41" t="str">
        <f>IF(COUNTA(B153)&gt;0,145,"")</f>
        <v/>
      </c>
      <c r="B153" s="18"/>
      <c r="C153" s="18"/>
      <c r="D153" s="18"/>
      <c r="E153" s="18"/>
      <c r="F153" s="18"/>
      <c r="G153" s="24" t="str">
        <f t="shared" si="0"/>
        <v/>
      </c>
      <c r="H153" s="18"/>
      <c r="I153" s="39"/>
      <c r="J153" s="18"/>
      <c r="K153" s="18"/>
      <c r="L153" s="18"/>
      <c r="M153" s="18"/>
      <c r="N153" s="43" t="str">
        <f>IF(COUNTA(B153)&gt;0,C5,"")</f>
        <v/>
      </c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7"/>
      <c r="AC153" s="18"/>
      <c r="AD153" s="18"/>
      <c r="AE153" s="18"/>
      <c r="AF153" s="18"/>
      <c r="AG153" s="39"/>
      <c r="AH153" s="18"/>
      <c r="AI153" s="18"/>
      <c r="AJ153" s="18"/>
      <c r="AK153" s="18"/>
      <c r="AL153" s="18"/>
      <c r="AM153" s="17"/>
      <c r="AO153" t="str">
        <f t="shared" si="3"/>
        <v/>
      </c>
    </row>
    <row r="154" spans="1:41" ht="15" x14ac:dyDescent="0.2">
      <c r="A154" s="41" t="str">
        <f>IF(COUNTA(B154)&gt;0,146,"")</f>
        <v/>
      </c>
      <c r="B154" s="18"/>
      <c r="C154" s="18"/>
      <c r="D154" s="18"/>
      <c r="E154" s="18"/>
      <c r="F154" s="18"/>
      <c r="G154" s="24" t="str">
        <f t="shared" si="0"/>
        <v/>
      </c>
      <c r="H154" s="18"/>
      <c r="I154" s="39"/>
      <c r="J154" s="18"/>
      <c r="K154" s="18"/>
      <c r="L154" s="18"/>
      <c r="M154" s="18"/>
      <c r="N154" s="43" t="str">
        <f>IF(COUNTA(B154)&gt;0,C5,"")</f>
        <v/>
      </c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7"/>
      <c r="AC154" s="18"/>
      <c r="AD154" s="18"/>
      <c r="AE154" s="18"/>
      <c r="AF154" s="18"/>
      <c r="AG154" s="39"/>
      <c r="AH154" s="18"/>
      <c r="AI154" s="18"/>
      <c r="AJ154" s="18"/>
      <c r="AK154" s="18"/>
      <c r="AL154" s="18"/>
      <c r="AM154" s="17"/>
      <c r="AO154" t="str">
        <f t="shared" si="3"/>
        <v/>
      </c>
    </row>
    <row r="155" spans="1:41" ht="15" x14ac:dyDescent="0.2">
      <c r="A155" s="41" t="str">
        <f>IF(COUNTA(B155)&gt;0,147,"")</f>
        <v/>
      </c>
      <c r="B155" s="18"/>
      <c r="C155" s="18"/>
      <c r="D155" s="18"/>
      <c r="E155" s="18"/>
      <c r="F155" s="18"/>
      <c r="G155" s="24" t="str">
        <f t="shared" si="0"/>
        <v/>
      </c>
      <c r="H155" s="18"/>
      <c r="I155" s="39"/>
      <c r="J155" s="18"/>
      <c r="K155" s="18"/>
      <c r="L155" s="18"/>
      <c r="M155" s="18"/>
      <c r="N155" s="43" t="str">
        <f>IF(COUNTA(B155)&gt;0,C5,"")</f>
        <v/>
      </c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7"/>
      <c r="AC155" s="18"/>
      <c r="AD155" s="18"/>
      <c r="AE155" s="18"/>
      <c r="AF155" s="18"/>
      <c r="AG155" s="39"/>
      <c r="AH155" s="18"/>
      <c r="AI155" s="18"/>
      <c r="AJ155" s="18"/>
      <c r="AK155" s="18"/>
      <c r="AL155" s="18"/>
      <c r="AM155" s="17"/>
      <c r="AO155" t="str">
        <f t="shared" si="3"/>
        <v/>
      </c>
    </row>
    <row r="156" spans="1:41" ht="15" x14ac:dyDescent="0.2">
      <c r="A156" s="41" t="str">
        <f>IF(COUNTA(B156)&gt;0,148,"")</f>
        <v/>
      </c>
      <c r="B156" s="18"/>
      <c r="C156" s="18"/>
      <c r="D156" s="18"/>
      <c r="E156" s="18"/>
      <c r="F156" s="18"/>
      <c r="G156" s="24" t="str">
        <f t="shared" si="0"/>
        <v/>
      </c>
      <c r="H156" s="18"/>
      <c r="I156" s="39"/>
      <c r="J156" s="18"/>
      <c r="K156" s="18"/>
      <c r="L156" s="18"/>
      <c r="M156" s="18"/>
      <c r="N156" s="43" t="str">
        <f>IF(COUNTA(B156)&gt;0,C5,"")</f>
        <v/>
      </c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7"/>
      <c r="AC156" s="18"/>
      <c r="AD156" s="18"/>
      <c r="AE156" s="18"/>
      <c r="AF156" s="18"/>
      <c r="AG156" s="39"/>
      <c r="AH156" s="18"/>
      <c r="AI156" s="18"/>
      <c r="AJ156" s="18"/>
      <c r="AK156" s="18"/>
      <c r="AL156" s="18"/>
      <c r="AM156" s="17"/>
      <c r="AO156" t="str">
        <f t="shared" si="3"/>
        <v/>
      </c>
    </row>
    <row r="157" spans="1:41" ht="15" x14ac:dyDescent="0.2">
      <c r="A157" s="41" t="str">
        <f>IF(COUNTA(B157)&gt;0,149,"")</f>
        <v/>
      </c>
      <c r="B157" s="18"/>
      <c r="C157" s="18"/>
      <c r="D157" s="18"/>
      <c r="E157" s="18"/>
      <c r="F157" s="18"/>
      <c r="G157" s="24" t="str">
        <f t="shared" si="0"/>
        <v/>
      </c>
      <c r="H157" s="18"/>
      <c r="I157" s="39"/>
      <c r="J157" s="18"/>
      <c r="K157" s="18"/>
      <c r="L157" s="18"/>
      <c r="M157" s="18"/>
      <c r="N157" s="43" t="str">
        <f>IF(COUNTA(B157)&gt;0,C5,"")</f>
        <v/>
      </c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7"/>
      <c r="AC157" s="18"/>
      <c r="AD157" s="18"/>
      <c r="AE157" s="18"/>
      <c r="AF157" s="18"/>
      <c r="AG157" s="39"/>
      <c r="AH157" s="18"/>
      <c r="AI157" s="18"/>
      <c r="AJ157" s="18"/>
      <c r="AK157" s="18"/>
      <c r="AL157" s="18"/>
      <c r="AM157" s="17"/>
      <c r="AO157" t="str">
        <f t="shared" si="3"/>
        <v/>
      </c>
    </row>
    <row r="158" spans="1:41" ht="15" x14ac:dyDescent="0.2">
      <c r="A158" s="41" t="str">
        <f>IF(COUNTA(B158)&gt;0,150,"")</f>
        <v/>
      </c>
      <c r="B158" s="18"/>
      <c r="C158" s="18"/>
      <c r="D158" s="18"/>
      <c r="E158" s="18"/>
      <c r="F158" s="18"/>
      <c r="G158" s="24" t="str">
        <f t="shared" si="0"/>
        <v/>
      </c>
      <c r="H158" s="18"/>
      <c r="I158" s="39"/>
      <c r="J158" s="18"/>
      <c r="K158" s="18"/>
      <c r="L158" s="18"/>
      <c r="M158" s="18"/>
      <c r="N158" s="43" t="str">
        <f>IF(COUNTA(B158)&gt;0,C5,"")</f>
        <v/>
      </c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7"/>
      <c r="AC158" s="18"/>
      <c r="AD158" s="18"/>
      <c r="AE158" s="18"/>
      <c r="AF158" s="18"/>
      <c r="AG158" s="39"/>
      <c r="AH158" s="18"/>
      <c r="AI158" s="18"/>
      <c r="AJ158" s="18"/>
      <c r="AK158" s="18"/>
      <c r="AL158" s="18"/>
      <c r="AM158" s="17"/>
      <c r="AO158" t="str">
        <f t="shared" si="3"/>
        <v/>
      </c>
    </row>
    <row r="159" spans="1:41" ht="15" x14ac:dyDescent="0.2">
      <c r="A159" s="41" t="str">
        <f>IF(COUNTA(B159)&gt;0,151,"")</f>
        <v/>
      </c>
      <c r="B159" s="18"/>
      <c r="C159" s="18"/>
      <c r="D159" s="18"/>
      <c r="E159" s="18"/>
      <c r="F159" s="18"/>
      <c r="G159" s="24" t="str">
        <f t="shared" si="0"/>
        <v/>
      </c>
      <c r="H159" s="18"/>
      <c r="I159" s="39"/>
      <c r="J159" s="18"/>
      <c r="K159" s="18"/>
      <c r="L159" s="18"/>
      <c r="M159" s="18"/>
      <c r="N159" s="43" t="str">
        <f>IF(COUNTA(B159)&gt;0,C5,"")</f>
        <v/>
      </c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7"/>
      <c r="AC159" s="18"/>
      <c r="AD159" s="18"/>
      <c r="AE159" s="18"/>
      <c r="AF159" s="18"/>
      <c r="AG159" s="39"/>
      <c r="AH159" s="18"/>
      <c r="AI159" s="18"/>
      <c r="AJ159" s="18"/>
      <c r="AK159" s="18"/>
      <c r="AL159" s="18"/>
      <c r="AM159" s="17"/>
      <c r="AO159" t="str">
        <f t="shared" si="3"/>
        <v/>
      </c>
    </row>
    <row r="160" spans="1:41" ht="15" x14ac:dyDescent="0.2">
      <c r="A160" s="41" t="str">
        <f>IF(COUNTA(B160)&gt;0,152,"")</f>
        <v/>
      </c>
      <c r="B160" s="18"/>
      <c r="C160" s="18"/>
      <c r="D160" s="18"/>
      <c r="E160" s="18"/>
      <c r="F160" s="18"/>
      <c r="G160" s="24" t="str">
        <f t="shared" si="0"/>
        <v/>
      </c>
      <c r="H160" s="18"/>
      <c r="I160" s="39"/>
      <c r="J160" s="18"/>
      <c r="K160" s="18"/>
      <c r="L160" s="18"/>
      <c r="M160" s="18"/>
      <c r="N160" s="43" t="str">
        <f>IF(COUNTA(B160)&gt;0,C5,"")</f>
        <v/>
      </c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7"/>
      <c r="AC160" s="18"/>
      <c r="AD160" s="18"/>
      <c r="AE160" s="18"/>
      <c r="AF160" s="18"/>
      <c r="AG160" s="39"/>
      <c r="AH160" s="18"/>
      <c r="AI160" s="18"/>
      <c r="AJ160" s="18"/>
      <c r="AK160" s="18"/>
      <c r="AL160" s="18"/>
      <c r="AM160" s="17"/>
      <c r="AO160" t="str">
        <f t="shared" si="3"/>
        <v/>
      </c>
    </row>
    <row r="161" spans="1:41" ht="15" x14ac:dyDescent="0.2">
      <c r="A161" s="41" t="str">
        <f>IF(COUNTA(B161)&gt;0,153,"")</f>
        <v/>
      </c>
      <c r="B161" s="18"/>
      <c r="C161" s="18"/>
      <c r="D161" s="18"/>
      <c r="E161" s="18"/>
      <c r="F161" s="18"/>
      <c r="G161" s="24" t="str">
        <f t="shared" si="0"/>
        <v/>
      </c>
      <c r="H161" s="18"/>
      <c r="I161" s="39"/>
      <c r="J161" s="18"/>
      <c r="K161" s="18"/>
      <c r="L161" s="18"/>
      <c r="M161" s="18"/>
      <c r="N161" s="43" t="str">
        <f>IF(COUNTA(B161)&gt;0,C5,"")</f>
        <v/>
      </c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7"/>
      <c r="AC161" s="18"/>
      <c r="AD161" s="18"/>
      <c r="AE161" s="18"/>
      <c r="AF161" s="18"/>
      <c r="AG161" s="39"/>
      <c r="AH161" s="18"/>
      <c r="AI161" s="18"/>
      <c r="AJ161" s="18"/>
      <c r="AK161" s="18"/>
      <c r="AL161" s="18"/>
      <c r="AM161" s="17"/>
      <c r="AO161" t="str">
        <f t="shared" si="3"/>
        <v/>
      </c>
    </row>
    <row r="162" spans="1:41" ht="15" x14ac:dyDescent="0.2">
      <c r="A162" s="41" t="str">
        <f>IF(COUNTA(B162)&gt;0,154,"")</f>
        <v/>
      </c>
      <c r="B162" s="18"/>
      <c r="C162" s="18"/>
      <c r="D162" s="18"/>
      <c r="E162" s="18"/>
      <c r="F162" s="18"/>
      <c r="G162" s="24" t="str">
        <f t="shared" si="0"/>
        <v/>
      </c>
      <c r="H162" s="18"/>
      <c r="I162" s="39"/>
      <c r="J162" s="18"/>
      <c r="K162" s="18"/>
      <c r="L162" s="18"/>
      <c r="M162" s="18"/>
      <c r="N162" s="43" t="str">
        <f>IF(COUNTA(B162)&gt;0,C5,"")</f>
        <v/>
      </c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7"/>
      <c r="AC162" s="18"/>
      <c r="AD162" s="18"/>
      <c r="AE162" s="18"/>
      <c r="AF162" s="18"/>
      <c r="AG162" s="39"/>
      <c r="AH162" s="18"/>
      <c r="AI162" s="18"/>
      <c r="AJ162" s="18"/>
      <c r="AK162" s="18"/>
      <c r="AL162" s="18"/>
      <c r="AM162" s="17"/>
      <c r="AO162" t="str">
        <f t="shared" si="3"/>
        <v/>
      </c>
    </row>
    <row r="163" spans="1:41" ht="15" x14ac:dyDescent="0.2">
      <c r="A163" s="41" t="str">
        <f>IF(COUNTA(B163)&gt;0,155,"")</f>
        <v/>
      </c>
      <c r="B163" s="18"/>
      <c r="C163" s="18"/>
      <c r="D163" s="18"/>
      <c r="E163" s="18"/>
      <c r="F163" s="18"/>
      <c r="G163" s="24" t="str">
        <f t="shared" si="0"/>
        <v/>
      </c>
      <c r="H163" s="18"/>
      <c r="I163" s="39"/>
      <c r="J163" s="18"/>
      <c r="K163" s="18"/>
      <c r="L163" s="18"/>
      <c r="M163" s="18"/>
      <c r="N163" s="43" t="str">
        <f>IF(COUNTA(B163)&gt;0,C5,"")</f>
        <v/>
      </c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7"/>
      <c r="AC163" s="18"/>
      <c r="AD163" s="18"/>
      <c r="AE163" s="18"/>
      <c r="AF163" s="18"/>
      <c r="AG163" s="39"/>
      <c r="AH163" s="18"/>
      <c r="AI163" s="18"/>
      <c r="AJ163" s="18"/>
      <c r="AK163" s="18"/>
      <c r="AL163" s="18"/>
      <c r="AM163" s="17"/>
      <c r="AO163" t="str">
        <f t="shared" si="3"/>
        <v/>
      </c>
    </row>
    <row r="164" spans="1:41" ht="15" x14ac:dyDescent="0.2">
      <c r="A164" s="41" t="str">
        <f>IF(COUNTA(B164)&gt;0,156,"")</f>
        <v/>
      </c>
      <c r="B164" s="18"/>
      <c r="C164" s="18"/>
      <c r="D164" s="18"/>
      <c r="E164" s="18"/>
      <c r="F164" s="18"/>
      <c r="G164" s="24" t="str">
        <f t="shared" si="0"/>
        <v/>
      </c>
      <c r="H164" s="18"/>
      <c r="I164" s="39"/>
      <c r="J164" s="18"/>
      <c r="K164" s="18"/>
      <c r="L164" s="18"/>
      <c r="M164" s="18"/>
      <c r="N164" s="43" t="str">
        <f>IF(COUNTA(B164)&gt;0,C5,"")</f>
        <v/>
      </c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7"/>
      <c r="AC164" s="18"/>
      <c r="AD164" s="18"/>
      <c r="AE164" s="18"/>
      <c r="AF164" s="18"/>
      <c r="AG164" s="39"/>
      <c r="AH164" s="18"/>
      <c r="AI164" s="18"/>
      <c r="AJ164" s="18"/>
      <c r="AK164" s="18"/>
      <c r="AL164" s="18"/>
      <c r="AM164" s="17"/>
      <c r="AO164" t="str">
        <f t="shared" si="3"/>
        <v/>
      </c>
    </row>
    <row r="165" spans="1:41" ht="15" x14ac:dyDescent="0.2">
      <c r="A165" s="41" t="str">
        <f>IF(COUNTA(B165)&gt;0,157,"")</f>
        <v/>
      </c>
      <c r="B165" s="18"/>
      <c r="C165" s="18"/>
      <c r="D165" s="18"/>
      <c r="E165" s="18"/>
      <c r="F165" s="18"/>
      <c r="G165" s="24" t="str">
        <f t="shared" si="0"/>
        <v/>
      </c>
      <c r="H165" s="18"/>
      <c r="I165" s="39"/>
      <c r="J165" s="18"/>
      <c r="K165" s="18"/>
      <c r="L165" s="18"/>
      <c r="M165" s="18"/>
      <c r="N165" s="43" t="str">
        <f>IF(COUNTA(B165)&gt;0,C5,"")</f>
        <v/>
      </c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7"/>
      <c r="AC165" s="18"/>
      <c r="AD165" s="18"/>
      <c r="AE165" s="18"/>
      <c r="AF165" s="18"/>
      <c r="AG165" s="39"/>
      <c r="AH165" s="18"/>
      <c r="AI165" s="18"/>
      <c r="AJ165" s="18"/>
      <c r="AK165" s="18"/>
      <c r="AL165" s="18"/>
      <c r="AM165" s="17"/>
      <c r="AO165" t="str">
        <f t="shared" si="3"/>
        <v/>
      </c>
    </row>
    <row r="166" spans="1:41" ht="15" x14ac:dyDescent="0.2">
      <c r="A166" s="41" t="str">
        <f>IF(COUNTA(B166)&gt;0,158,"")</f>
        <v/>
      </c>
      <c r="B166" s="18"/>
      <c r="C166" s="18"/>
      <c r="D166" s="18"/>
      <c r="E166" s="18"/>
      <c r="F166" s="18"/>
      <c r="G166" s="24" t="str">
        <f t="shared" si="0"/>
        <v/>
      </c>
      <c r="H166" s="18"/>
      <c r="I166" s="39"/>
      <c r="J166" s="18"/>
      <c r="K166" s="18"/>
      <c r="L166" s="18"/>
      <c r="M166" s="18"/>
      <c r="N166" s="43" t="str">
        <f>IF(COUNTA(B166)&gt;0,C5,"")</f>
        <v/>
      </c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7"/>
      <c r="AC166" s="18"/>
      <c r="AD166" s="18"/>
      <c r="AE166" s="18"/>
      <c r="AF166" s="18"/>
      <c r="AG166" s="39"/>
      <c r="AH166" s="18"/>
      <c r="AI166" s="18"/>
      <c r="AJ166" s="18"/>
      <c r="AK166" s="18"/>
      <c r="AL166" s="18"/>
      <c r="AM166" s="17"/>
      <c r="AO166" t="str">
        <f t="shared" si="3"/>
        <v/>
      </c>
    </row>
    <row r="167" spans="1:41" ht="15" x14ac:dyDescent="0.2">
      <c r="A167" s="41" t="str">
        <f>IF(COUNTA(B167)&gt;0,159,"")</f>
        <v/>
      </c>
      <c r="B167" s="18"/>
      <c r="C167" s="18"/>
      <c r="D167" s="18"/>
      <c r="E167" s="18"/>
      <c r="F167" s="18"/>
      <c r="G167" s="24" t="str">
        <f t="shared" si="0"/>
        <v/>
      </c>
      <c r="H167" s="18"/>
      <c r="I167" s="39"/>
      <c r="J167" s="18"/>
      <c r="K167" s="18"/>
      <c r="L167" s="18"/>
      <c r="M167" s="18"/>
      <c r="N167" s="43" t="str">
        <f>IF(COUNTA(B167)&gt;0,C5,"")</f>
        <v/>
      </c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7"/>
      <c r="AC167" s="18"/>
      <c r="AD167" s="18"/>
      <c r="AE167" s="18"/>
      <c r="AF167" s="18"/>
      <c r="AG167" s="39"/>
      <c r="AH167" s="18"/>
      <c r="AI167" s="18"/>
      <c r="AJ167" s="18"/>
      <c r="AK167" s="18"/>
      <c r="AL167" s="18"/>
      <c r="AM167" s="17"/>
      <c r="AO167" t="str">
        <f t="shared" si="3"/>
        <v/>
      </c>
    </row>
    <row r="168" spans="1:41" ht="15" x14ac:dyDescent="0.2">
      <c r="A168" s="41" t="str">
        <f>IF(COUNTA(B168)&gt;0,160,"")</f>
        <v/>
      </c>
      <c r="B168" s="18"/>
      <c r="C168" s="18"/>
      <c r="D168" s="18"/>
      <c r="E168" s="18"/>
      <c r="F168" s="18"/>
      <c r="G168" s="24" t="str">
        <f t="shared" si="0"/>
        <v/>
      </c>
      <c r="H168" s="18"/>
      <c r="I168" s="39"/>
      <c r="J168" s="18"/>
      <c r="K168" s="18"/>
      <c r="L168" s="18"/>
      <c r="M168" s="18"/>
      <c r="N168" s="43" t="str">
        <f>IF(COUNTA(B168)&gt;0,C5,"")</f>
        <v/>
      </c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7"/>
      <c r="AC168" s="18"/>
      <c r="AD168" s="18"/>
      <c r="AE168" s="18"/>
      <c r="AF168" s="18"/>
      <c r="AG168" s="39"/>
      <c r="AH168" s="18"/>
      <c r="AI168" s="18"/>
      <c r="AJ168" s="18"/>
      <c r="AK168" s="18"/>
      <c r="AL168" s="18"/>
      <c r="AM168" s="17"/>
      <c r="AO168" t="str">
        <f t="shared" si="3"/>
        <v/>
      </c>
    </row>
    <row r="169" spans="1:41" ht="15" x14ac:dyDescent="0.2">
      <c r="A169" s="41" t="str">
        <f>IF(COUNTA(B169)&gt;0,161,"")</f>
        <v/>
      </c>
      <c r="B169" s="18"/>
      <c r="C169" s="18"/>
      <c r="D169" s="18"/>
      <c r="E169" s="18"/>
      <c r="F169" s="18"/>
      <c r="G169" s="24" t="str">
        <f t="shared" si="0"/>
        <v/>
      </c>
      <c r="H169" s="18"/>
      <c r="I169" s="39"/>
      <c r="J169" s="18"/>
      <c r="K169" s="18"/>
      <c r="L169" s="18"/>
      <c r="M169" s="18"/>
      <c r="N169" s="43" t="str">
        <f>IF(COUNTA(B169)&gt;0,C5,"")</f>
        <v/>
      </c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7"/>
      <c r="AC169" s="18"/>
      <c r="AD169" s="18"/>
      <c r="AE169" s="18"/>
      <c r="AF169" s="18"/>
      <c r="AG169" s="39"/>
      <c r="AH169" s="18"/>
      <c r="AI169" s="18"/>
      <c r="AJ169" s="18"/>
      <c r="AK169" s="18"/>
      <c r="AL169" s="18"/>
      <c r="AM169" s="17"/>
      <c r="AO169" t="str">
        <f t="shared" si="3"/>
        <v/>
      </c>
    </row>
    <row r="170" spans="1:41" ht="15" x14ac:dyDescent="0.2">
      <c r="A170" s="41" t="str">
        <f>IF(COUNTA(B170)&gt;0,162,"")</f>
        <v/>
      </c>
      <c r="B170" s="18"/>
      <c r="C170" s="18"/>
      <c r="D170" s="18"/>
      <c r="E170" s="18"/>
      <c r="F170" s="18"/>
      <c r="G170" s="24" t="str">
        <f t="shared" si="0"/>
        <v/>
      </c>
      <c r="H170" s="18"/>
      <c r="I170" s="39"/>
      <c r="J170" s="18"/>
      <c r="K170" s="18"/>
      <c r="L170" s="18"/>
      <c r="M170" s="18"/>
      <c r="N170" s="43" t="str">
        <f>IF(COUNTA(B170)&gt;0,C5,"")</f>
        <v/>
      </c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7"/>
      <c r="AC170" s="18"/>
      <c r="AD170" s="18"/>
      <c r="AE170" s="18"/>
      <c r="AF170" s="18"/>
      <c r="AG170" s="39"/>
      <c r="AH170" s="18"/>
      <c r="AI170" s="18"/>
      <c r="AJ170" s="18"/>
      <c r="AK170" s="18"/>
      <c r="AL170" s="18"/>
      <c r="AM170" s="17"/>
      <c r="AO170" t="str">
        <f t="shared" si="3"/>
        <v/>
      </c>
    </row>
    <row r="171" spans="1:41" ht="15" x14ac:dyDescent="0.2">
      <c r="A171" s="41" t="str">
        <f>IF(COUNTA(B171)&gt;0,163,"")</f>
        <v/>
      </c>
      <c r="B171" s="18"/>
      <c r="C171" s="18"/>
      <c r="D171" s="18"/>
      <c r="E171" s="18"/>
      <c r="F171" s="18"/>
      <c r="G171" s="24" t="str">
        <f t="shared" si="0"/>
        <v/>
      </c>
      <c r="H171" s="18"/>
      <c r="I171" s="39"/>
      <c r="J171" s="18"/>
      <c r="K171" s="18"/>
      <c r="L171" s="18"/>
      <c r="M171" s="18"/>
      <c r="N171" s="43" t="str">
        <f>IF(COUNTA(B171)&gt;0,C5,"")</f>
        <v/>
      </c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7"/>
      <c r="AC171" s="18"/>
      <c r="AD171" s="18"/>
      <c r="AE171" s="18"/>
      <c r="AF171" s="18"/>
      <c r="AG171" s="39"/>
      <c r="AH171" s="18"/>
      <c r="AI171" s="18"/>
      <c r="AJ171" s="18"/>
      <c r="AK171" s="18"/>
      <c r="AL171" s="18"/>
      <c r="AM171" s="17"/>
      <c r="AO171" t="str">
        <f t="shared" si="3"/>
        <v/>
      </c>
    </row>
    <row r="172" spans="1:41" ht="15" x14ac:dyDescent="0.2">
      <c r="A172" s="41" t="str">
        <f>IF(COUNTA(B172)&gt;0,164,"")</f>
        <v/>
      </c>
      <c r="B172" s="18"/>
      <c r="C172" s="18"/>
      <c r="D172" s="18"/>
      <c r="E172" s="18"/>
      <c r="F172" s="18"/>
      <c r="G172" s="24" t="str">
        <f t="shared" si="0"/>
        <v/>
      </c>
      <c r="H172" s="18"/>
      <c r="I172" s="39"/>
      <c r="J172" s="18"/>
      <c r="K172" s="18"/>
      <c r="L172" s="18"/>
      <c r="M172" s="18"/>
      <c r="N172" s="43" t="str">
        <f>IF(COUNTA(B172)&gt;0,C5,"")</f>
        <v/>
      </c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7"/>
      <c r="AC172" s="18"/>
      <c r="AD172" s="18"/>
      <c r="AE172" s="18"/>
      <c r="AF172" s="18"/>
      <c r="AG172" s="39"/>
      <c r="AH172" s="18"/>
      <c r="AI172" s="18"/>
      <c r="AJ172" s="18"/>
      <c r="AK172" s="18"/>
      <c r="AL172" s="18"/>
      <c r="AM172" s="17"/>
      <c r="AO172" t="str">
        <f t="shared" si="3"/>
        <v/>
      </c>
    </row>
    <row r="173" spans="1:41" ht="15" x14ac:dyDescent="0.2">
      <c r="A173" s="41" t="str">
        <f>IF(COUNTA(B173)&gt;0,165,"")</f>
        <v/>
      </c>
      <c r="B173" s="18"/>
      <c r="C173" s="18"/>
      <c r="D173" s="18"/>
      <c r="E173" s="18"/>
      <c r="F173" s="18"/>
      <c r="G173" s="24" t="str">
        <f t="shared" si="0"/>
        <v/>
      </c>
      <c r="H173" s="18"/>
      <c r="I173" s="39"/>
      <c r="J173" s="18"/>
      <c r="K173" s="18"/>
      <c r="L173" s="18"/>
      <c r="M173" s="18"/>
      <c r="N173" s="43" t="str">
        <f>IF(COUNTA(B173)&gt;0,C5,"")</f>
        <v/>
      </c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7"/>
      <c r="AC173" s="18"/>
      <c r="AD173" s="18"/>
      <c r="AE173" s="18"/>
      <c r="AF173" s="18"/>
      <c r="AG173" s="39"/>
      <c r="AH173" s="18"/>
      <c r="AI173" s="18"/>
      <c r="AJ173" s="18"/>
      <c r="AK173" s="18"/>
      <c r="AL173" s="18"/>
      <c r="AM173" s="17"/>
      <c r="AO173" t="str">
        <f t="shared" si="3"/>
        <v/>
      </c>
    </row>
    <row r="174" spans="1:41" ht="15" x14ac:dyDescent="0.2">
      <c r="A174" s="41" t="str">
        <f>IF(COUNTA(B174)&gt;0,166,"")</f>
        <v/>
      </c>
      <c r="B174" s="18"/>
      <c r="C174" s="18"/>
      <c r="D174" s="18"/>
      <c r="E174" s="18"/>
      <c r="F174" s="18"/>
      <c r="G174" s="24" t="str">
        <f t="shared" si="0"/>
        <v/>
      </c>
      <c r="H174" s="18"/>
      <c r="I174" s="39"/>
      <c r="J174" s="18"/>
      <c r="K174" s="18"/>
      <c r="L174" s="18"/>
      <c r="M174" s="18"/>
      <c r="N174" s="43" t="str">
        <f>IF(COUNTA(B174)&gt;0,C5,"")</f>
        <v/>
      </c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7"/>
      <c r="AC174" s="18"/>
      <c r="AD174" s="18"/>
      <c r="AE174" s="18"/>
      <c r="AF174" s="18"/>
      <c r="AG174" s="39"/>
      <c r="AH174" s="18"/>
      <c r="AI174" s="18"/>
      <c r="AJ174" s="18"/>
      <c r="AK174" s="18"/>
      <c r="AL174" s="18"/>
      <c r="AM174" s="17"/>
      <c r="AO174" t="str">
        <f t="shared" si="3"/>
        <v/>
      </c>
    </row>
    <row r="175" spans="1:41" ht="15" x14ac:dyDescent="0.2">
      <c r="A175" s="41" t="str">
        <f>IF(COUNTA(B175)&gt;0,167,"")</f>
        <v/>
      </c>
      <c r="B175" s="18"/>
      <c r="C175" s="18"/>
      <c r="D175" s="18"/>
      <c r="E175" s="18"/>
      <c r="F175" s="18"/>
      <c r="G175" s="24" t="str">
        <f t="shared" si="0"/>
        <v/>
      </c>
      <c r="H175" s="18"/>
      <c r="I175" s="39"/>
      <c r="J175" s="18"/>
      <c r="K175" s="18"/>
      <c r="L175" s="18"/>
      <c r="M175" s="18"/>
      <c r="N175" s="43" t="str">
        <f>IF(COUNTA(B175)&gt;0,C5,"")</f>
        <v/>
      </c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7"/>
      <c r="AC175" s="18"/>
      <c r="AD175" s="18"/>
      <c r="AE175" s="18"/>
      <c r="AF175" s="18"/>
      <c r="AG175" s="39"/>
      <c r="AH175" s="18"/>
      <c r="AI175" s="18"/>
      <c r="AJ175" s="18"/>
      <c r="AK175" s="18"/>
      <c r="AL175" s="18"/>
      <c r="AM175" s="17"/>
      <c r="AO175" t="str">
        <f t="shared" si="3"/>
        <v/>
      </c>
    </row>
    <row r="176" spans="1:41" ht="15" x14ac:dyDescent="0.2">
      <c r="A176" s="41" t="str">
        <f>IF(COUNTA(B176)&gt;0,168,"")</f>
        <v/>
      </c>
      <c r="B176" s="18"/>
      <c r="C176" s="18"/>
      <c r="D176" s="18"/>
      <c r="E176" s="18"/>
      <c r="F176" s="18"/>
      <c r="G176" s="24" t="str">
        <f t="shared" si="0"/>
        <v/>
      </c>
      <c r="H176" s="18"/>
      <c r="I176" s="39"/>
      <c r="J176" s="18"/>
      <c r="K176" s="18"/>
      <c r="L176" s="18"/>
      <c r="M176" s="18"/>
      <c r="N176" s="43" t="str">
        <f>IF(COUNTA(B176)&gt;0,C5,"")</f>
        <v/>
      </c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7"/>
      <c r="AC176" s="18"/>
      <c r="AD176" s="18"/>
      <c r="AE176" s="18"/>
      <c r="AF176" s="18"/>
      <c r="AG176" s="39"/>
      <c r="AH176" s="18"/>
      <c r="AI176" s="18"/>
      <c r="AJ176" s="18"/>
      <c r="AK176" s="18"/>
      <c r="AL176" s="18"/>
      <c r="AM176" s="17"/>
      <c r="AO176" t="str">
        <f t="shared" si="3"/>
        <v/>
      </c>
    </row>
    <row r="177" spans="1:41" ht="15" x14ac:dyDescent="0.2">
      <c r="A177" s="41" t="str">
        <f>IF(COUNTA(B177)&gt;0,169,"")</f>
        <v/>
      </c>
      <c r="B177" s="18"/>
      <c r="C177" s="18"/>
      <c r="D177" s="18"/>
      <c r="E177" s="18"/>
      <c r="F177" s="18"/>
      <c r="G177" s="24" t="str">
        <f t="shared" si="0"/>
        <v/>
      </c>
      <c r="H177" s="18"/>
      <c r="I177" s="39"/>
      <c r="J177" s="18"/>
      <c r="K177" s="18"/>
      <c r="L177" s="18"/>
      <c r="M177" s="18"/>
      <c r="N177" s="43" t="str">
        <f>IF(COUNTA(B177)&gt;0,C5,"")</f>
        <v/>
      </c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7"/>
      <c r="AC177" s="18"/>
      <c r="AD177" s="18"/>
      <c r="AE177" s="18"/>
      <c r="AF177" s="18"/>
      <c r="AG177" s="39"/>
      <c r="AH177" s="18"/>
      <c r="AI177" s="18"/>
      <c r="AJ177" s="18"/>
      <c r="AK177" s="18"/>
      <c r="AL177" s="18"/>
      <c r="AM177" s="17"/>
      <c r="AO177" t="str">
        <f t="shared" si="3"/>
        <v/>
      </c>
    </row>
    <row r="178" spans="1:41" ht="15" x14ac:dyDescent="0.2">
      <c r="A178" s="41" t="str">
        <f>IF(COUNTA(B178)&gt;0,170,"")</f>
        <v/>
      </c>
      <c r="B178" s="18"/>
      <c r="C178" s="18"/>
      <c r="D178" s="18"/>
      <c r="E178" s="18"/>
      <c r="F178" s="18"/>
      <c r="G178" s="24" t="str">
        <f t="shared" si="0"/>
        <v/>
      </c>
      <c r="H178" s="18"/>
      <c r="I178" s="39"/>
      <c r="J178" s="18"/>
      <c r="K178" s="18"/>
      <c r="L178" s="18"/>
      <c r="M178" s="18"/>
      <c r="N178" s="43" t="str">
        <f>IF(COUNTA(B178)&gt;0,C5,"")</f>
        <v/>
      </c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7"/>
      <c r="AC178" s="18"/>
      <c r="AD178" s="18"/>
      <c r="AE178" s="18"/>
      <c r="AF178" s="18"/>
      <c r="AG178" s="39"/>
      <c r="AH178" s="18"/>
      <c r="AI178" s="18"/>
      <c r="AJ178" s="18"/>
      <c r="AK178" s="18"/>
      <c r="AL178" s="18"/>
      <c r="AM178" s="17"/>
      <c r="AO178" t="str">
        <f t="shared" si="3"/>
        <v/>
      </c>
    </row>
    <row r="179" spans="1:41" ht="15" x14ac:dyDescent="0.2">
      <c r="A179" s="41" t="str">
        <f>IF(COUNTA(B179)&gt;0,171,"")</f>
        <v/>
      </c>
      <c r="B179" s="18"/>
      <c r="C179" s="18"/>
      <c r="D179" s="18"/>
      <c r="E179" s="18"/>
      <c r="F179" s="18"/>
      <c r="G179" s="24" t="str">
        <f t="shared" si="0"/>
        <v/>
      </c>
      <c r="H179" s="18"/>
      <c r="I179" s="39"/>
      <c r="J179" s="18"/>
      <c r="K179" s="18"/>
      <c r="L179" s="18"/>
      <c r="M179" s="18"/>
      <c r="N179" s="43" t="str">
        <f>IF(COUNTA(B179)&gt;0,C5,"")</f>
        <v/>
      </c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7"/>
      <c r="AC179" s="18"/>
      <c r="AD179" s="18"/>
      <c r="AE179" s="18"/>
      <c r="AF179" s="18"/>
      <c r="AG179" s="39"/>
      <c r="AH179" s="18"/>
      <c r="AI179" s="18"/>
      <c r="AJ179" s="18"/>
      <c r="AK179" s="18"/>
      <c r="AL179" s="18"/>
      <c r="AM179" s="17"/>
      <c r="AO179" t="str">
        <f t="shared" si="3"/>
        <v/>
      </c>
    </row>
    <row r="180" spans="1:41" ht="15" x14ac:dyDescent="0.2">
      <c r="A180" s="41" t="str">
        <f>IF(COUNTA(B180)&gt;0,172,"")</f>
        <v/>
      </c>
      <c r="B180" s="18"/>
      <c r="C180" s="18"/>
      <c r="D180" s="18"/>
      <c r="E180" s="18"/>
      <c r="F180" s="18"/>
      <c r="G180" s="24" t="str">
        <f t="shared" si="0"/>
        <v/>
      </c>
      <c r="H180" s="18"/>
      <c r="I180" s="39"/>
      <c r="J180" s="18"/>
      <c r="K180" s="18"/>
      <c r="L180" s="18"/>
      <c r="M180" s="18"/>
      <c r="N180" s="43" t="str">
        <f>IF(COUNTA(B180)&gt;0,C5,"")</f>
        <v/>
      </c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7"/>
      <c r="AC180" s="18"/>
      <c r="AD180" s="18"/>
      <c r="AE180" s="18"/>
      <c r="AF180" s="18"/>
      <c r="AG180" s="39"/>
      <c r="AH180" s="18"/>
      <c r="AI180" s="18"/>
      <c r="AJ180" s="18"/>
      <c r="AK180" s="18"/>
      <c r="AL180" s="18"/>
      <c r="AM180" s="17"/>
      <c r="AO180" t="str">
        <f t="shared" si="3"/>
        <v/>
      </c>
    </row>
    <row r="181" spans="1:41" ht="15" x14ac:dyDescent="0.2">
      <c r="A181" s="41" t="str">
        <f>IF(COUNTA(B181)&gt;0,173,"")</f>
        <v/>
      </c>
      <c r="B181" s="18"/>
      <c r="C181" s="18"/>
      <c r="D181" s="18"/>
      <c r="E181" s="18"/>
      <c r="F181" s="18"/>
      <c r="G181" s="24" t="str">
        <f t="shared" si="0"/>
        <v/>
      </c>
      <c r="H181" s="18"/>
      <c r="I181" s="39"/>
      <c r="J181" s="18"/>
      <c r="K181" s="18"/>
      <c r="L181" s="18"/>
      <c r="M181" s="18"/>
      <c r="N181" s="43" t="str">
        <f>IF(COUNTA(B181)&gt;0,C5,"")</f>
        <v/>
      </c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7"/>
      <c r="AC181" s="18"/>
      <c r="AD181" s="18"/>
      <c r="AE181" s="18"/>
      <c r="AF181" s="18"/>
      <c r="AG181" s="39"/>
      <c r="AH181" s="18"/>
      <c r="AI181" s="18"/>
      <c r="AJ181" s="18"/>
      <c r="AK181" s="18"/>
      <c r="AL181" s="18"/>
      <c r="AM181" s="17"/>
      <c r="AO181" t="str">
        <f t="shared" si="3"/>
        <v/>
      </c>
    </row>
    <row r="182" spans="1:41" ht="15" x14ac:dyDescent="0.2">
      <c r="A182" s="41" t="str">
        <f>IF(COUNTA(B182)&gt;0,174,"")</f>
        <v/>
      </c>
      <c r="B182" s="18"/>
      <c r="C182" s="18"/>
      <c r="D182" s="18"/>
      <c r="E182" s="18"/>
      <c r="F182" s="18"/>
      <c r="G182" s="24" t="str">
        <f t="shared" si="0"/>
        <v/>
      </c>
      <c r="H182" s="18"/>
      <c r="I182" s="39"/>
      <c r="J182" s="18"/>
      <c r="K182" s="18"/>
      <c r="L182" s="18"/>
      <c r="M182" s="18"/>
      <c r="N182" s="43" t="str">
        <f>IF(COUNTA(B182)&gt;0,C5,"")</f>
        <v/>
      </c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7"/>
      <c r="AC182" s="18"/>
      <c r="AD182" s="18"/>
      <c r="AE182" s="18"/>
      <c r="AF182" s="18"/>
      <c r="AG182" s="39"/>
      <c r="AH182" s="18"/>
      <c r="AI182" s="18"/>
      <c r="AJ182" s="18"/>
      <c r="AK182" s="18"/>
      <c r="AL182" s="18"/>
      <c r="AM182" s="17"/>
      <c r="AO182" t="str">
        <f t="shared" si="3"/>
        <v/>
      </c>
    </row>
    <row r="183" spans="1:41" ht="15" x14ac:dyDescent="0.2">
      <c r="A183" s="41" t="str">
        <f>IF(COUNTA(B183)&gt;0,175,"")</f>
        <v/>
      </c>
      <c r="B183" s="18"/>
      <c r="C183" s="18"/>
      <c r="D183" s="18"/>
      <c r="E183" s="18"/>
      <c r="F183" s="18"/>
      <c r="G183" s="24" t="str">
        <f t="shared" si="0"/>
        <v/>
      </c>
      <c r="H183" s="18"/>
      <c r="I183" s="39"/>
      <c r="J183" s="18"/>
      <c r="K183" s="18"/>
      <c r="L183" s="18"/>
      <c r="M183" s="18"/>
      <c r="N183" s="43" t="str">
        <f>IF(COUNTA(B183)&gt;0,C5,"")</f>
        <v/>
      </c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7"/>
      <c r="AC183" s="18"/>
      <c r="AD183" s="18"/>
      <c r="AE183" s="18"/>
      <c r="AF183" s="18"/>
      <c r="AG183" s="39"/>
      <c r="AH183" s="18"/>
      <c r="AI183" s="18"/>
      <c r="AJ183" s="18"/>
      <c r="AK183" s="18"/>
      <c r="AL183" s="18"/>
      <c r="AM183" s="17"/>
      <c r="AO183" t="str">
        <f t="shared" si="3"/>
        <v/>
      </c>
    </row>
    <row r="184" spans="1:41" ht="15" x14ac:dyDescent="0.2">
      <c r="A184" s="41" t="str">
        <f>IF(COUNTA(B184)&gt;0,176,"")</f>
        <v/>
      </c>
      <c r="B184" s="18"/>
      <c r="C184" s="18"/>
      <c r="D184" s="18"/>
      <c r="E184" s="18"/>
      <c r="F184" s="18"/>
      <c r="G184" s="24" t="str">
        <f t="shared" si="0"/>
        <v/>
      </c>
      <c r="H184" s="18"/>
      <c r="I184" s="39"/>
      <c r="J184" s="18"/>
      <c r="K184" s="18"/>
      <c r="L184" s="18"/>
      <c r="M184" s="18"/>
      <c r="N184" s="43" t="str">
        <f>IF(COUNTA(B184)&gt;0,C5,"")</f>
        <v/>
      </c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7"/>
      <c r="AC184" s="18"/>
      <c r="AD184" s="18"/>
      <c r="AE184" s="18"/>
      <c r="AF184" s="18"/>
      <c r="AG184" s="39"/>
      <c r="AH184" s="18"/>
      <c r="AI184" s="18"/>
      <c r="AJ184" s="18"/>
      <c r="AK184" s="18"/>
      <c r="AL184" s="18"/>
      <c r="AM184" s="17"/>
      <c r="AO184" t="str">
        <f t="shared" si="3"/>
        <v/>
      </c>
    </row>
    <row r="185" spans="1:41" ht="15" x14ac:dyDescent="0.2">
      <c r="A185" s="41" t="str">
        <f>IF(COUNTA(B185)&gt;0,177,"")</f>
        <v/>
      </c>
      <c r="B185" s="18"/>
      <c r="C185" s="18"/>
      <c r="D185" s="18"/>
      <c r="E185" s="18"/>
      <c r="F185" s="18"/>
      <c r="G185" s="24" t="str">
        <f t="shared" si="0"/>
        <v/>
      </c>
      <c r="H185" s="18"/>
      <c r="I185" s="39"/>
      <c r="J185" s="18"/>
      <c r="K185" s="18"/>
      <c r="L185" s="18"/>
      <c r="M185" s="18"/>
      <c r="N185" s="43" t="str">
        <f>IF(COUNTA(B185)&gt;0,C5,"")</f>
        <v/>
      </c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7"/>
      <c r="AC185" s="18"/>
      <c r="AD185" s="18"/>
      <c r="AE185" s="18"/>
      <c r="AF185" s="18"/>
      <c r="AG185" s="39"/>
      <c r="AH185" s="18"/>
      <c r="AI185" s="18"/>
      <c r="AJ185" s="18"/>
      <c r="AK185" s="18"/>
      <c r="AL185" s="18"/>
      <c r="AM185" s="17"/>
      <c r="AO185" t="str">
        <f t="shared" si="3"/>
        <v/>
      </c>
    </row>
    <row r="186" spans="1:41" ht="15" x14ac:dyDescent="0.2">
      <c r="A186" s="41" t="str">
        <f>IF(COUNTA(B186)&gt;0,178,"")</f>
        <v/>
      </c>
      <c r="B186" s="18"/>
      <c r="C186" s="18"/>
      <c r="D186" s="18"/>
      <c r="E186" s="18"/>
      <c r="F186" s="18"/>
      <c r="G186" s="24" t="str">
        <f t="shared" si="0"/>
        <v/>
      </c>
      <c r="H186" s="18"/>
      <c r="I186" s="39"/>
      <c r="J186" s="18"/>
      <c r="K186" s="18"/>
      <c r="L186" s="18"/>
      <c r="M186" s="18"/>
      <c r="N186" s="43" t="str">
        <f>IF(COUNTA(B186)&gt;0,C5,"")</f>
        <v/>
      </c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7"/>
      <c r="AC186" s="18"/>
      <c r="AD186" s="18"/>
      <c r="AE186" s="18"/>
      <c r="AF186" s="18"/>
      <c r="AG186" s="39"/>
      <c r="AH186" s="18"/>
      <c r="AI186" s="18"/>
      <c r="AJ186" s="18"/>
      <c r="AK186" s="18"/>
      <c r="AL186" s="18"/>
      <c r="AM186" s="17"/>
      <c r="AO186" t="str">
        <f t="shared" si="3"/>
        <v/>
      </c>
    </row>
    <row r="187" spans="1:41" ht="15" x14ac:dyDescent="0.2">
      <c r="A187" s="41" t="str">
        <f>IF(COUNTA(B187)&gt;0,179,"")</f>
        <v/>
      </c>
      <c r="B187" s="18"/>
      <c r="C187" s="18"/>
      <c r="D187" s="18"/>
      <c r="E187" s="18"/>
      <c r="F187" s="18"/>
      <c r="G187" s="24" t="str">
        <f t="shared" si="0"/>
        <v/>
      </c>
      <c r="H187" s="18"/>
      <c r="I187" s="39"/>
      <c r="J187" s="18"/>
      <c r="K187" s="18"/>
      <c r="L187" s="18"/>
      <c r="M187" s="18"/>
      <c r="N187" s="43" t="str">
        <f>IF(COUNTA(B187)&gt;0,C5,"")</f>
        <v/>
      </c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7"/>
      <c r="AC187" s="18"/>
      <c r="AD187" s="18"/>
      <c r="AE187" s="18"/>
      <c r="AF187" s="18"/>
      <c r="AG187" s="39"/>
      <c r="AH187" s="18"/>
      <c r="AI187" s="18"/>
      <c r="AJ187" s="18"/>
      <c r="AK187" s="18"/>
      <c r="AL187" s="18"/>
      <c r="AM187" s="17"/>
      <c r="AO187" t="str">
        <f t="shared" si="3"/>
        <v/>
      </c>
    </row>
    <row r="188" spans="1:41" ht="15" x14ac:dyDescent="0.2">
      <c r="A188" s="41" t="str">
        <f>IF(COUNTA(B188)&gt;0,180,"")</f>
        <v/>
      </c>
      <c r="B188" s="18"/>
      <c r="C188" s="18"/>
      <c r="D188" s="18"/>
      <c r="E188" s="18"/>
      <c r="F188" s="18"/>
      <c r="G188" s="24" t="str">
        <f t="shared" si="0"/>
        <v/>
      </c>
      <c r="H188" s="18"/>
      <c r="I188" s="39"/>
      <c r="J188" s="18"/>
      <c r="K188" s="18"/>
      <c r="L188" s="18"/>
      <c r="M188" s="18"/>
      <c r="N188" s="43" t="str">
        <f>IF(COUNTA(B188)&gt;0,C5,"")</f>
        <v/>
      </c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7"/>
      <c r="AC188" s="18"/>
      <c r="AD188" s="18"/>
      <c r="AE188" s="18"/>
      <c r="AF188" s="18"/>
      <c r="AG188" s="39"/>
      <c r="AH188" s="18"/>
      <c r="AI188" s="18"/>
      <c r="AJ188" s="18"/>
      <c r="AK188" s="18"/>
      <c r="AL188" s="18"/>
      <c r="AM188" s="17"/>
      <c r="AO188" t="str">
        <f t="shared" si="3"/>
        <v/>
      </c>
    </row>
    <row r="189" spans="1:41" ht="15" x14ac:dyDescent="0.2">
      <c r="A189" s="41" t="str">
        <f>IF(COUNTA(B189)&gt;0,181,"")</f>
        <v/>
      </c>
      <c r="B189" s="18"/>
      <c r="C189" s="18"/>
      <c r="D189" s="18"/>
      <c r="E189" s="18"/>
      <c r="F189" s="18"/>
      <c r="G189" s="24" t="str">
        <f t="shared" si="0"/>
        <v/>
      </c>
      <c r="H189" s="18"/>
      <c r="I189" s="39"/>
      <c r="J189" s="18"/>
      <c r="K189" s="18"/>
      <c r="L189" s="18"/>
      <c r="M189" s="18"/>
      <c r="N189" s="43" t="str">
        <f>IF(COUNTA(B189)&gt;0,C5,"")</f>
        <v/>
      </c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7"/>
      <c r="AC189" s="18"/>
      <c r="AD189" s="18"/>
      <c r="AE189" s="18"/>
      <c r="AF189" s="18"/>
      <c r="AG189" s="39"/>
      <c r="AH189" s="18"/>
      <c r="AI189" s="18"/>
      <c r="AJ189" s="18"/>
      <c r="AK189" s="18"/>
      <c r="AL189" s="18"/>
      <c r="AM189" s="17"/>
      <c r="AO189" t="str">
        <f t="shared" si="3"/>
        <v/>
      </c>
    </row>
    <row r="190" spans="1:41" ht="15" x14ac:dyDescent="0.2">
      <c r="A190" s="41" t="str">
        <f>IF(COUNTA(B190)&gt;0,182,"")</f>
        <v/>
      </c>
      <c r="B190" s="18"/>
      <c r="C190" s="18"/>
      <c r="D190" s="18"/>
      <c r="E190" s="18"/>
      <c r="F190" s="18"/>
      <c r="G190" s="24" t="str">
        <f t="shared" si="0"/>
        <v/>
      </c>
      <c r="H190" s="18"/>
      <c r="I190" s="39"/>
      <c r="J190" s="18"/>
      <c r="K190" s="18"/>
      <c r="L190" s="18"/>
      <c r="M190" s="18"/>
      <c r="N190" s="43" t="str">
        <f>IF(COUNTA(B190)&gt;0,C5,"")</f>
        <v/>
      </c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7"/>
      <c r="AC190" s="18"/>
      <c r="AD190" s="18"/>
      <c r="AE190" s="18"/>
      <c r="AF190" s="18"/>
      <c r="AG190" s="39"/>
      <c r="AH190" s="18"/>
      <c r="AI190" s="18"/>
      <c r="AJ190" s="18"/>
      <c r="AK190" s="18"/>
      <c r="AL190" s="18"/>
      <c r="AM190" s="17"/>
      <c r="AO190" t="str">
        <f t="shared" si="3"/>
        <v/>
      </c>
    </row>
    <row r="191" spans="1:41" ht="15" x14ac:dyDescent="0.2">
      <c r="A191" s="41" t="str">
        <f>IF(COUNTA(B191)&gt;0,183,"")</f>
        <v/>
      </c>
      <c r="B191" s="18"/>
      <c r="C191" s="18"/>
      <c r="D191" s="18"/>
      <c r="E191" s="18"/>
      <c r="F191" s="18"/>
      <c r="G191" s="24" t="str">
        <f t="shared" si="0"/>
        <v/>
      </c>
      <c r="H191" s="18"/>
      <c r="I191" s="39"/>
      <c r="J191" s="18"/>
      <c r="K191" s="18"/>
      <c r="L191" s="18"/>
      <c r="M191" s="18"/>
      <c r="N191" s="43" t="str">
        <f>IF(COUNTA(B191)&gt;0,C5,"")</f>
        <v/>
      </c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7"/>
      <c r="AC191" s="18"/>
      <c r="AD191" s="18"/>
      <c r="AE191" s="18"/>
      <c r="AF191" s="18"/>
      <c r="AG191" s="39"/>
      <c r="AH191" s="18"/>
      <c r="AI191" s="18"/>
      <c r="AJ191" s="18"/>
      <c r="AK191" s="18"/>
      <c r="AL191" s="18"/>
      <c r="AM191" s="17"/>
      <c r="AO191" t="str">
        <f t="shared" si="3"/>
        <v/>
      </c>
    </row>
    <row r="192" spans="1:41" ht="15" x14ac:dyDescent="0.2">
      <c r="A192" s="41" t="str">
        <f>IF(COUNTA(B192)&gt;0,184,"")</f>
        <v/>
      </c>
      <c r="B192" s="18"/>
      <c r="C192" s="18"/>
      <c r="D192" s="18"/>
      <c r="E192" s="18"/>
      <c r="F192" s="18"/>
      <c r="G192" s="24" t="str">
        <f t="shared" si="0"/>
        <v/>
      </c>
      <c r="H192" s="18"/>
      <c r="I192" s="39"/>
      <c r="J192" s="18"/>
      <c r="K192" s="18"/>
      <c r="L192" s="18"/>
      <c r="M192" s="18"/>
      <c r="N192" s="43" t="str">
        <f>IF(COUNTA(B192)&gt;0,C5,"")</f>
        <v/>
      </c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7"/>
      <c r="AC192" s="18"/>
      <c r="AD192" s="18"/>
      <c r="AE192" s="18"/>
      <c r="AF192" s="18"/>
      <c r="AG192" s="39"/>
      <c r="AH192" s="18"/>
      <c r="AI192" s="18"/>
      <c r="AJ192" s="18"/>
      <c r="AK192" s="18"/>
      <c r="AL192" s="18"/>
      <c r="AM192" s="17"/>
      <c r="AO192" t="str">
        <f t="shared" si="3"/>
        <v/>
      </c>
    </row>
    <row r="193" spans="1:41" ht="15" x14ac:dyDescent="0.2">
      <c r="A193" s="41" t="str">
        <f>IF(COUNTA(B193)&gt;0,185,"")</f>
        <v/>
      </c>
      <c r="B193" s="18"/>
      <c r="C193" s="18"/>
      <c r="D193" s="18"/>
      <c r="E193" s="18"/>
      <c r="F193" s="18"/>
      <c r="G193" s="24" t="str">
        <f t="shared" si="0"/>
        <v/>
      </c>
      <c r="H193" s="18"/>
      <c r="I193" s="39"/>
      <c r="J193" s="18"/>
      <c r="K193" s="18"/>
      <c r="L193" s="18"/>
      <c r="M193" s="18"/>
      <c r="N193" s="43" t="str">
        <f>IF(COUNTA(B193)&gt;0,C5,"")</f>
        <v/>
      </c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7"/>
      <c r="AC193" s="18"/>
      <c r="AD193" s="18"/>
      <c r="AE193" s="18"/>
      <c r="AF193" s="18"/>
      <c r="AG193" s="39"/>
      <c r="AH193" s="18"/>
      <c r="AI193" s="18"/>
      <c r="AJ193" s="18"/>
      <c r="AK193" s="18"/>
      <c r="AL193" s="18"/>
      <c r="AM193" s="17"/>
      <c r="AO193" t="str">
        <f t="shared" si="3"/>
        <v/>
      </c>
    </row>
    <row r="194" spans="1:41" ht="15" x14ac:dyDescent="0.2">
      <c r="A194" s="41" t="str">
        <f>IF(COUNTA(B194)&gt;0,186,"")</f>
        <v/>
      </c>
      <c r="B194" s="18"/>
      <c r="C194" s="18"/>
      <c r="D194" s="18"/>
      <c r="E194" s="18"/>
      <c r="F194" s="18"/>
      <c r="G194" s="24" t="str">
        <f t="shared" si="0"/>
        <v/>
      </c>
      <c r="H194" s="18"/>
      <c r="I194" s="39"/>
      <c r="J194" s="18"/>
      <c r="K194" s="18"/>
      <c r="L194" s="18"/>
      <c r="M194" s="18"/>
      <c r="N194" s="43" t="str">
        <f>IF(COUNTA(B194)&gt;0,C5,"")</f>
        <v/>
      </c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7"/>
      <c r="AC194" s="18"/>
      <c r="AD194" s="18"/>
      <c r="AE194" s="18"/>
      <c r="AF194" s="18"/>
      <c r="AG194" s="39"/>
      <c r="AH194" s="18"/>
      <c r="AI194" s="18"/>
      <c r="AJ194" s="18"/>
      <c r="AK194" s="18"/>
      <c r="AL194" s="18"/>
      <c r="AM194" s="17"/>
      <c r="AO194" t="str">
        <f t="shared" si="3"/>
        <v/>
      </c>
    </row>
    <row r="195" spans="1:41" ht="15" x14ac:dyDescent="0.2">
      <c r="A195" s="41" t="str">
        <f>IF(COUNTA(B195)&gt;0,187,"")</f>
        <v/>
      </c>
      <c r="B195" s="18"/>
      <c r="C195" s="18"/>
      <c r="D195" s="18"/>
      <c r="E195" s="18"/>
      <c r="F195" s="18"/>
      <c r="G195" s="24" t="str">
        <f t="shared" si="0"/>
        <v/>
      </c>
      <c r="H195" s="18"/>
      <c r="I195" s="39"/>
      <c r="J195" s="18"/>
      <c r="K195" s="18"/>
      <c r="L195" s="18"/>
      <c r="M195" s="18"/>
      <c r="N195" s="43" t="str">
        <f>IF(COUNTA(B195)&gt;0,C5,"")</f>
        <v/>
      </c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7"/>
      <c r="AC195" s="18"/>
      <c r="AD195" s="18"/>
      <c r="AE195" s="18"/>
      <c r="AF195" s="18"/>
      <c r="AG195" s="39"/>
      <c r="AH195" s="18"/>
      <c r="AI195" s="18"/>
      <c r="AJ195" s="18"/>
      <c r="AK195" s="18"/>
      <c r="AL195" s="18"/>
      <c r="AM195" s="17"/>
      <c r="AO195" t="str">
        <f t="shared" si="3"/>
        <v/>
      </c>
    </row>
    <row r="196" spans="1:41" ht="15" x14ac:dyDescent="0.2">
      <c r="A196" s="41" t="str">
        <f>IF(COUNTA(B196)&gt;0,188,"")</f>
        <v/>
      </c>
      <c r="B196" s="18"/>
      <c r="C196" s="18"/>
      <c r="D196" s="18"/>
      <c r="E196" s="18"/>
      <c r="F196" s="18"/>
      <c r="G196" s="24" t="str">
        <f t="shared" si="0"/>
        <v/>
      </c>
      <c r="H196" s="18"/>
      <c r="I196" s="39"/>
      <c r="J196" s="18"/>
      <c r="K196" s="18"/>
      <c r="L196" s="18"/>
      <c r="M196" s="18"/>
      <c r="N196" s="43" t="str">
        <f>IF(COUNTA(B196)&gt;0,C5,"")</f>
        <v/>
      </c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7"/>
      <c r="AC196" s="18"/>
      <c r="AD196" s="18"/>
      <c r="AE196" s="18"/>
      <c r="AF196" s="18"/>
      <c r="AG196" s="39"/>
      <c r="AH196" s="18"/>
      <c r="AI196" s="18"/>
      <c r="AJ196" s="18"/>
      <c r="AK196" s="18"/>
      <c r="AL196" s="18"/>
      <c r="AM196" s="17"/>
      <c r="AO196" t="str">
        <f t="shared" si="3"/>
        <v/>
      </c>
    </row>
    <row r="197" spans="1:41" ht="15" x14ac:dyDescent="0.2">
      <c r="A197" s="41" t="str">
        <f>IF(COUNTA(B197)&gt;0,189,"")</f>
        <v/>
      </c>
      <c r="B197" s="18"/>
      <c r="C197" s="18"/>
      <c r="D197" s="18"/>
      <c r="E197" s="18"/>
      <c r="F197" s="18"/>
      <c r="G197" s="24" t="str">
        <f t="shared" si="0"/>
        <v/>
      </c>
      <c r="H197" s="18"/>
      <c r="I197" s="39"/>
      <c r="J197" s="18"/>
      <c r="K197" s="18"/>
      <c r="L197" s="18"/>
      <c r="M197" s="18"/>
      <c r="N197" s="43" t="str">
        <f>IF(COUNTA(B197)&gt;0,C5,"")</f>
        <v/>
      </c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7"/>
      <c r="AC197" s="18"/>
      <c r="AD197" s="18"/>
      <c r="AE197" s="18"/>
      <c r="AF197" s="18"/>
      <c r="AG197" s="39"/>
      <c r="AH197" s="18"/>
      <c r="AI197" s="18"/>
      <c r="AJ197" s="18"/>
      <c r="AK197" s="18"/>
      <c r="AL197" s="18"/>
      <c r="AM197" s="17"/>
      <c r="AO197" t="str">
        <f t="shared" si="3"/>
        <v/>
      </c>
    </row>
    <row r="198" spans="1:41" ht="15" x14ac:dyDescent="0.2">
      <c r="A198" s="41" t="str">
        <f>IF(COUNTA(B198)&gt;0,190,"")</f>
        <v/>
      </c>
      <c r="B198" s="18"/>
      <c r="C198" s="18"/>
      <c r="D198" s="18"/>
      <c r="E198" s="18"/>
      <c r="F198" s="18"/>
      <c r="G198" s="24" t="str">
        <f t="shared" si="0"/>
        <v/>
      </c>
      <c r="H198" s="18"/>
      <c r="I198" s="39"/>
      <c r="J198" s="18"/>
      <c r="K198" s="18"/>
      <c r="L198" s="18"/>
      <c r="M198" s="18"/>
      <c r="N198" s="43" t="str">
        <f>IF(COUNTA(B198)&gt;0,C5,"")</f>
        <v/>
      </c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7"/>
      <c r="AC198" s="18"/>
      <c r="AD198" s="18"/>
      <c r="AE198" s="18"/>
      <c r="AF198" s="18"/>
      <c r="AG198" s="39"/>
      <c r="AH198" s="18"/>
      <c r="AI198" s="18"/>
      <c r="AJ198" s="18"/>
      <c r="AK198" s="18"/>
      <c r="AL198" s="18"/>
      <c r="AM198" s="17"/>
      <c r="AO198" t="str">
        <f t="shared" si="3"/>
        <v/>
      </c>
    </row>
    <row r="199" spans="1:41" ht="15" x14ac:dyDescent="0.2">
      <c r="A199" s="41" t="str">
        <f>IF(COUNTA(B199)&gt;0,191,"")</f>
        <v/>
      </c>
      <c r="B199" s="18"/>
      <c r="C199" s="18"/>
      <c r="D199" s="18"/>
      <c r="E199" s="18"/>
      <c r="F199" s="18"/>
      <c r="G199" s="24" t="str">
        <f t="shared" si="0"/>
        <v/>
      </c>
      <c r="H199" s="18"/>
      <c r="I199" s="39"/>
      <c r="J199" s="18"/>
      <c r="K199" s="18"/>
      <c r="L199" s="18"/>
      <c r="M199" s="18"/>
      <c r="N199" s="43" t="str">
        <f>IF(COUNTA(B199)&gt;0,C5,"")</f>
        <v/>
      </c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7"/>
      <c r="AC199" s="18"/>
      <c r="AD199" s="18"/>
      <c r="AE199" s="18"/>
      <c r="AF199" s="18"/>
      <c r="AG199" s="39"/>
      <c r="AH199" s="18"/>
      <c r="AI199" s="18"/>
      <c r="AJ199" s="18"/>
      <c r="AK199" s="18"/>
      <c r="AL199" s="18"/>
      <c r="AM199" s="17"/>
      <c r="AO199" t="str">
        <f t="shared" si="3"/>
        <v/>
      </c>
    </row>
    <row r="200" spans="1:41" ht="15" x14ac:dyDescent="0.2">
      <c r="A200" s="41" t="str">
        <f>IF(COUNTA(B200)&gt;0,192,"")</f>
        <v/>
      </c>
      <c r="B200" s="18"/>
      <c r="C200" s="18"/>
      <c r="D200" s="18"/>
      <c r="E200" s="18"/>
      <c r="F200" s="18"/>
      <c r="G200" s="24" t="str">
        <f t="shared" si="0"/>
        <v/>
      </c>
      <c r="H200" s="18"/>
      <c r="I200" s="39"/>
      <c r="J200" s="18"/>
      <c r="K200" s="18"/>
      <c r="L200" s="18"/>
      <c r="M200" s="18"/>
      <c r="N200" s="43" t="str">
        <f>IF(COUNTA(B200)&gt;0,C5,"")</f>
        <v/>
      </c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7"/>
      <c r="AC200" s="18"/>
      <c r="AD200" s="18"/>
      <c r="AE200" s="18"/>
      <c r="AF200" s="18"/>
      <c r="AG200" s="39"/>
      <c r="AH200" s="18"/>
      <c r="AI200" s="18"/>
      <c r="AJ200" s="18"/>
      <c r="AK200" s="18"/>
      <c r="AL200" s="18"/>
      <c r="AM200" s="17"/>
      <c r="AO200" t="str">
        <f t="shared" si="3"/>
        <v/>
      </c>
    </row>
    <row r="201" spans="1:41" ht="15" x14ac:dyDescent="0.2">
      <c r="A201" s="41" t="str">
        <f>IF(COUNTA(B201)&gt;0,193,"")</f>
        <v/>
      </c>
      <c r="B201" s="18"/>
      <c r="C201" s="18"/>
      <c r="D201" s="18"/>
      <c r="E201" s="18"/>
      <c r="F201" s="18"/>
      <c r="G201" s="24" t="str">
        <f t="shared" si="0"/>
        <v/>
      </c>
      <c r="H201" s="18"/>
      <c r="I201" s="39"/>
      <c r="J201" s="18"/>
      <c r="K201" s="18"/>
      <c r="L201" s="18"/>
      <c r="M201" s="18"/>
      <c r="N201" s="43" t="str">
        <f>IF(COUNTA(B201)&gt;0,C5,"")</f>
        <v/>
      </c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7"/>
      <c r="AC201" s="18"/>
      <c r="AD201" s="18"/>
      <c r="AE201" s="18"/>
      <c r="AF201" s="18"/>
      <c r="AG201" s="39"/>
      <c r="AH201" s="18"/>
      <c r="AI201" s="18"/>
      <c r="AJ201" s="18"/>
      <c r="AK201" s="18"/>
      <c r="AL201" s="18"/>
      <c r="AM201" s="17"/>
      <c r="AO201" t="str">
        <f t="shared" ref="AO201:AO264" si="4">IF(COUNTA(L201:M201)&lt;&gt;0,"Có",IF(COUNTA(B201)&gt;0,"Không",""))</f>
        <v/>
      </c>
    </row>
    <row r="202" spans="1:41" ht="15" x14ac:dyDescent="0.2">
      <c r="A202" s="41" t="str">
        <f>IF(COUNTA(B202)&gt;0,194,"")</f>
        <v/>
      </c>
      <c r="B202" s="18"/>
      <c r="C202" s="18"/>
      <c r="D202" s="18"/>
      <c r="E202" s="18"/>
      <c r="F202" s="18"/>
      <c r="G202" s="24" t="str">
        <f t="shared" si="0"/>
        <v/>
      </c>
      <c r="H202" s="18"/>
      <c r="I202" s="39"/>
      <c r="J202" s="18"/>
      <c r="K202" s="18"/>
      <c r="L202" s="18"/>
      <c r="M202" s="18"/>
      <c r="N202" s="43" t="str">
        <f>IF(COUNTA(B202)&gt;0,C5,"")</f>
        <v/>
      </c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7"/>
      <c r="AC202" s="18"/>
      <c r="AD202" s="18"/>
      <c r="AE202" s="18"/>
      <c r="AF202" s="18"/>
      <c r="AG202" s="39"/>
      <c r="AH202" s="18"/>
      <c r="AI202" s="18"/>
      <c r="AJ202" s="18"/>
      <c r="AK202" s="18"/>
      <c r="AL202" s="18"/>
      <c r="AM202" s="17"/>
      <c r="AO202" t="str">
        <f t="shared" si="4"/>
        <v/>
      </c>
    </row>
    <row r="203" spans="1:41" ht="15" x14ac:dyDescent="0.2">
      <c r="A203" s="41" t="str">
        <f>IF(COUNTA(B203)&gt;0,195,"")</f>
        <v/>
      </c>
      <c r="B203" s="18"/>
      <c r="C203" s="18"/>
      <c r="D203" s="18"/>
      <c r="E203" s="18"/>
      <c r="F203" s="18"/>
      <c r="G203" s="24" t="str">
        <f t="shared" si="0"/>
        <v/>
      </c>
      <c r="H203" s="18"/>
      <c r="I203" s="39"/>
      <c r="J203" s="18"/>
      <c r="K203" s="18"/>
      <c r="L203" s="18"/>
      <c r="M203" s="18"/>
      <c r="N203" s="43" t="str">
        <f>IF(COUNTA(B203)&gt;0,C5,"")</f>
        <v/>
      </c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7"/>
      <c r="AC203" s="18"/>
      <c r="AD203" s="18"/>
      <c r="AE203" s="18"/>
      <c r="AF203" s="18"/>
      <c r="AG203" s="39"/>
      <c r="AH203" s="18"/>
      <c r="AI203" s="18"/>
      <c r="AJ203" s="18"/>
      <c r="AK203" s="18"/>
      <c r="AL203" s="18"/>
      <c r="AM203" s="17"/>
      <c r="AO203" t="str">
        <f t="shared" si="4"/>
        <v/>
      </c>
    </row>
    <row r="204" spans="1:41" ht="15" x14ac:dyDescent="0.2">
      <c r="A204" s="41" t="str">
        <f>IF(COUNTA(B204)&gt;0,196,"")</f>
        <v/>
      </c>
      <c r="B204" s="18"/>
      <c r="C204" s="18"/>
      <c r="D204" s="18"/>
      <c r="E204" s="18"/>
      <c r="F204" s="18"/>
      <c r="G204" s="24" t="str">
        <f t="shared" si="0"/>
        <v/>
      </c>
      <c r="H204" s="18"/>
      <c r="I204" s="39"/>
      <c r="J204" s="18"/>
      <c r="K204" s="18"/>
      <c r="L204" s="18"/>
      <c r="M204" s="18"/>
      <c r="N204" s="43" t="str">
        <f>IF(COUNTA(B204)&gt;0,C5,"")</f>
        <v/>
      </c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7"/>
      <c r="AC204" s="18"/>
      <c r="AD204" s="18"/>
      <c r="AE204" s="18"/>
      <c r="AF204" s="18"/>
      <c r="AG204" s="39"/>
      <c r="AH204" s="18"/>
      <c r="AI204" s="18"/>
      <c r="AJ204" s="18"/>
      <c r="AK204" s="18"/>
      <c r="AL204" s="18"/>
      <c r="AM204" s="17"/>
      <c r="AO204" t="str">
        <f t="shared" si="4"/>
        <v/>
      </c>
    </row>
    <row r="205" spans="1:41" ht="15" x14ac:dyDescent="0.2">
      <c r="A205" s="41" t="str">
        <f>IF(COUNTA(B205)&gt;0,197,"")</f>
        <v/>
      </c>
      <c r="B205" s="18"/>
      <c r="C205" s="18"/>
      <c r="D205" s="18"/>
      <c r="E205" s="18"/>
      <c r="F205" s="18"/>
      <c r="G205" s="24" t="str">
        <f t="shared" si="0"/>
        <v/>
      </c>
      <c r="H205" s="18"/>
      <c r="I205" s="39"/>
      <c r="J205" s="18"/>
      <c r="K205" s="18"/>
      <c r="L205" s="18"/>
      <c r="M205" s="18"/>
      <c r="N205" s="43" t="str">
        <f>IF(COUNTA(B205)&gt;0,C5,"")</f>
        <v/>
      </c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7"/>
      <c r="AC205" s="18"/>
      <c r="AD205" s="18"/>
      <c r="AE205" s="18"/>
      <c r="AF205" s="18"/>
      <c r="AG205" s="39"/>
      <c r="AH205" s="18"/>
      <c r="AI205" s="18"/>
      <c r="AJ205" s="18"/>
      <c r="AK205" s="18"/>
      <c r="AL205" s="18"/>
      <c r="AM205" s="17"/>
      <c r="AO205" t="str">
        <f t="shared" si="4"/>
        <v/>
      </c>
    </row>
    <row r="206" spans="1:41" ht="15" x14ac:dyDescent="0.2">
      <c r="A206" s="41" t="str">
        <f>IF(COUNTA(B206)&gt;0,198,"")</f>
        <v/>
      </c>
      <c r="B206" s="18"/>
      <c r="C206" s="18"/>
      <c r="D206" s="18"/>
      <c r="E206" s="18"/>
      <c r="F206" s="18"/>
      <c r="G206" s="24" t="str">
        <f t="shared" si="0"/>
        <v/>
      </c>
      <c r="H206" s="18"/>
      <c r="I206" s="39"/>
      <c r="J206" s="18"/>
      <c r="K206" s="18"/>
      <c r="L206" s="18"/>
      <c r="M206" s="18"/>
      <c r="N206" s="43" t="str">
        <f>IF(COUNTA(B206)&gt;0,C5,"")</f>
        <v/>
      </c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7"/>
      <c r="AC206" s="18"/>
      <c r="AD206" s="18"/>
      <c r="AE206" s="18"/>
      <c r="AF206" s="18"/>
      <c r="AG206" s="39"/>
      <c r="AH206" s="18"/>
      <c r="AI206" s="18"/>
      <c r="AJ206" s="18"/>
      <c r="AK206" s="18"/>
      <c r="AL206" s="18"/>
      <c r="AM206" s="17"/>
      <c r="AO206" t="str">
        <f t="shared" si="4"/>
        <v/>
      </c>
    </row>
    <row r="207" spans="1:41" ht="15" x14ac:dyDescent="0.2">
      <c r="A207" s="41" t="str">
        <f>IF(COUNTA(B207)&gt;0,199,"")</f>
        <v/>
      </c>
      <c r="B207" s="18"/>
      <c r="C207" s="18"/>
      <c r="D207" s="18"/>
      <c r="E207" s="18"/>
      <c r="F207" s="18"/>
      <c r="G207" s="24" t="str">
        <f t="shared" si="0"/>
        <v/>
      </c>
      <c r="H207" s="18"/>
      <c r="I207" s="39"/>
      <c r="J207" s="18"/>
      <c r="K207" s="18"/>
      <c r="L207" s="18"/>
      <c r="M207" s="18"/>
      <c r="N207" s="43" t="str">
        <f>IF(COUNTA(B207)&gt;0,C5,"")</f>
        <v/>
      </c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7"/>
      <c r="AC207" s="18"/>
      <c r="AD207" s="18"/>
      <c r="AE207" s="18"/>
      <c r="AF207" s="18"/>
      <c r="AG207" s="39"/>
      <c r="AH207" s="18"/>
      <c r="AI207" s="18"/>
      <c r="AJ207" s="18"/>
      <c r="AK207" s="18"/>
      <c r="AL207" s="18"/>
      <c r="AM207" s="17"/>
      <c r="AO207" t="str">
        <f t="shared" si="4"/>
        <v/>
      </c>
    </row>
    <row r="208" spans="1:41" ht="15" x14ac:dyDescent="0.2">
      <c r="A208" s="41" t="str">
        <f>IF(COUNTA(B208)&gt;0,200,"")</f>
        <v/>
      </c>
      <c r="B208" s="18"/>
      <c r="C208" s="18"/>
      <c r="D208" s="18"/>
      <c r="E208" s="18"/>
      <c r="F208" s="18"/>
      <c r="G208" s="24" t="str">
        <f t="shared" si="0"/>
        <v/>
      </c>
      <c r="H208" s="18"/>
      <c r="I208" s="39"/>
      <c r="J208" s="18"/>
      <c r="K208" s="18"/>
      <c r="L208" s="18"/>
      <c r="M208" s="18"/>
      <c r="N208" s="43" t="str">
        <f>IF(COUNTA(B208)&gt;0,C5,"")</f>
        <v/>
      </c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7"/>
      <c r="AC208" s="18"/>
      <c r="AD208" s="18"/>
      <c r="AE208" s="18"/>
      <c r="AF208" s="18"/>
      <c r="AG208" s="39"/>
      <c r="AH208" s="18"/>
      <c r="AI208" s="18"/>
      <c r="AJ208" s="18"/>
      <c r="AK208" s="18"/>
      <c r="AL208" s="18"/>
      <c r="AM208" s="17"/>
      <c r="AO208" t="str">
        <f t="shared" si="4"/>
        <v/>
      </c>
    </row>
    <row r="209" spans="1:41" ht="15" x14ac:dyDescent="0.2">
      <c r="A209" s="41" t="str">
        <f>IF(COUNTA(B209)&gt;0,201,"")</f>
        <v/>
      </c>
      <c r="B209" s="18"/>
      <c r="C209" s="18"/>
      <c r="D209" s="18"/>
      <c r="E209" s="18"/>
      <c r="F209" s="18"/>
      <c r="G209" s="24" t="str">
        <f t="shared" si="0"/>
        <v/>
      </c>
      <c r="H209" s="18"/>
      <c r="I209" s="39"/>
      <c r="J209" s="18"/>
      <c r="K209" s="18"/>
      <c r="L209" s="18"/>
      <c r="M209" s="18"/>
      <c r="N209" s="43" t="str">
        <f>IF(COUNTA(B209)&gt;0,C5,"")</f>
        <v/>
      </c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7"/>
      <c r="AC209" s="18"/>
      <c r="AD209" s="18"/>
      <c r="AE209" s="18"/>
      <c r="AF209" s="18"/>
      <c r="AG209" s="39"/>
      <c r="AH209" s="18"/>
      <c r="AI209" s="18"/>
      <c r="AJ209" s="18"/>
      <c r="AK209" s="18"/>
      <c r="AL209" s="18"/>
      <c r="AM209" s="17"/>
      <c r="AO209" t="str">
        <f t="shared" si="4"/>
        <v/>
      </c>
    </row>
    <row r="210" spans="1:41" ht="15" x14ac:dyDescent="0.2">
      <c r="A210" s="41" t="str">
        <f>IF(COUNTA(B210)&gt;0,202,"")</f>
        <v/>
      </c>
      <c r="B210" s="18"/>
      <c r="C210" s="18"/>
      <c r="D210" s="18"/>
      <c r="E210" s="18"/>
      <c r="F210" s="18"/>
      <c r="G210" s="24" t="str">
        <f t="shared" si="0"/>
        <v/>
      </c>
      <c r="H210" s="18"/>
      <c r="I210" s="39"/>
      <c r="J210" s="18"/>
      <c r="K210" s="18"/>
      <c r="L210" s="18"/>
      <c r="M210" s="18"/>
      <c r="N210" s="43" t="str">
        <f>IF(COUNTA(B210)&gt;0,C5,"")</f>
        <v/>
      </c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7"/>
      <c r="AC210" s="18"/>
      <c r="AD210" s="18"/>
      <c r="AE210" s="18"/>
      <c r="AF210" s="18"/>
      <c r="AG210" s="39"/>
      <c r="AH210" s="18"/>
      <c r="AI210" s="18"/>
      <c r="AJ210" s="18"/>
      <c r="AK210" s="18"/>
      <c r="AL210" s="18"/>
      <c r="AM210" s="17"/>
      <c r="AO210" t="str">
        <f t="shared" si="4"/>
        <v/>
      </c>
    </row>
    <row r="211" spans="1:41" ht="15" x14ac:dyDescent="0.2">
      <c r="A211" s="41" t="str">
        <f>IF(COUNTA(B211)&gt;0,203,"")</f>
        <v/>
      </c>
      <c r="B211" s="18"/>
      <c r="C211" s="18"/>
      <c r="D211" s="18"/>
      <c r="E211" s="18"/>
      <c r="F211" s="18"/>
      <c r="G211" s="24" t="str">
        <f t="shared" si="0"/>
        <v/>
      </c>
      <c r="H211" s="18"/>
      <c r="I211" s="39"/>
      <c r="J211" s="18"/>
      <c r="K211" s="18"/>
      <c r="L211" s="18"/>
      <c r="M211" s="18"/>
      <c r="N211" s="43" t="str">
        <f>IF(COUNTA(B211)&gt;0,C5,"")</f>
        <v/>
      </c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7"/>
      <c r="AC211" s="18"/>
      <c r="AD211" s="18"/>
      <c r="AE211" s="18"/>
      <c r="AF211" s="18"/>
      <c r="AG211" s="39"/>
      <c r="AH211" s="18"/>
      <c r="AI211" s="18"/>
      <c r="AJ211" s="18"/>
      <c r="AK211" s="18"/>
      <c r="AL211" s="18"/>
      <c r="AM211" s="17"/>
      <c r="AO211" t="str">
        <f t="shared" si="4"/>
        <v/>
      </c>
    </row>
    <row r="212" spans="1:41" ht="15" x14ac:dyDescent="0.2">
      <c r="A212" s="41" t="str">
        <f>IF(COUNTA(B212)&gt;0,204,"")</f>
        <v/>
      </c>
      <c r="B212" s="18"/>
      <c r="C212" s="18"/>
      <c r="D212" s="18"/>
      <c r="E212" s="18"/>
      <c r="F212" s="18"/>
      <c r="G212" s="24" t="str">
        <f t="shared" si="0"/>
        <v/>
      </c>
      <c r="H212" s="18"/>
      <c r="I212" s="39"/>
      <c r="J212" s="18"/>
      <c r="K212" s="18"/>
      <c r="L212" s="18"/>
      <c r="M212" s="18"/>
      <c r="N212" s="43" t="str">
        <f>IF(COUNTA(B212)&gt;0,C5,"")</f>
        <v/>
      </c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7"/>
      <c r="AC212" s="18"/>
      <c r="AD212" s="18"/>
      <c r="AE212" s="18"/>
      <c r="AF212" s="18"/>
      <c r="AG212" s="39"/>
      <c r="AH212" s="18"/>
      <c r="AI212" s="18"/>
      <c r="AJ212" s="18"/>
      <c r="AK212" s="18"/>
      <c r="AL212" s="18"/>
      <c r="AM212" s="17"/>
      <c r="AO212" t="str">
        <f t="shared" si="4"/>
        <v/>
      </c>
    </row>
    <row r="213" spans="1:41" ht="15" x14ac:dyDescent="0.2">
      <c r="A213" s="41" t="str">
        <f>IF(COUNTA(B213)&gt;0,205,"")</f>
        <v/>
      </c>
      <c r="B213" s="18"/>
      <c r="C213" s="18"/>
      <c r="D213" s="18"/>
      <c r="E213" s="18"/>
      <c r="F213" s="18"/>
      <c r="G213" s="24" t="str">
        <f t="shared" si="0"/>
        <v/>
      </c>
      <c r="H213" s="18"/>
      <c r="I213" s="39"/>
      <c r="J213" s="18"/>
      <c r="K213" s="18"/>
      <c r="L213" s="18"/>
      <c r="M213" s="18"/>
      <c r="N213" s="43" t="str">
        <f>IF(COUNTA(B213)&gt;0,C5,"")</f>
        <v/>
      </c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7"/>
      <c r="AC213" s="18"/>
      <c r="AD213" s="18"/>
      <c r="AE213" s="18"/>
      <c r="AF213" s="18"/>
      <c r="AG213" s="39"/>
      <c r="AH213" s="18"/>
      <c r="AI213" s="18"/>
      <c r="AJ213" s="18"/>
      <c r="AK213" s="18"/>
      <c r="AL213" s="18"/>
      <c r="AM213" s="17"/>
      <c r="AO213" t="str">
        <f t="shared" si="4"/>
        <v/>
      </c>
    </row>
    <row r="214" spans="1:41" ht="15" x14ac:dyDescent="0.2">
      <c r="A214" s="41" t="str">
        <f>IF(COUNTA(B214)&gt;0,206,"")</f>
        <v/>
      </c>
      <c r="B214" s="18"/>
      <c r="C214" s="18"/>
      <c r="D214" s="18"/>
      <c r="E214" s="18"/>
      <c r="F214" s="18"/>
      <c r="G214" s="24" t="str">
        <f t="shared" si="0"/>
        <v/>
      </c>
      <c r="H214" s="18"/>
      <c r="I214" s="39"/>
      <c r="J214" s="18"/>
      <c r="K214" s="18"/>
      <c r="L214" s="18"/>
      <c r="M214" s="18"/>
      <c r="N214" s="43" t="str">
        <f>IF(COUNTA(B214)&gt;0,C5,"")</f>
        <v/>
      </c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7"/>
      <c r="AC214" s="18"/>
      <c r="AD214" s="18"/>
      <c r="AE214" s="18"/>
      <c r="AF214" s="18"/>
      <c r="AG214" s="39"/>
      <c r="AH214" s="18"/>
      <c r="AI214" s="18"/>
      <c r="AJ214" s="18"/>
      <c r="AK214" s="18"/>
      <c r="AL214" s="18"/>
      <c r="AM214" s="17"/>
      <c r="AO214" t="str">
        <f t="shared" si="4"/>
        <v/>
      </c>
    </row>
    <row r="215" spans="1:41" ht="15" x14ac:dyDescent="0.2">
      <c r="A215" s="41" t="str">
        <f>IF(COUNTA(B215)&gt;0,207,"")</f>
        <v/>
      </c>
      <c r="B215" s="18"/>
      <c r="C215" s="18"/>
      <c r="D215" s="18"/>
      <c r="E215" s="18"/>
      <c r="F215" s="18"/>
      <c r="G215" s="24" t="str">
        <f t="shared" si="0"/>
        <v/>
      </c>
      <c r="H215" s="18"/>
      <c r="I215" s="39"/>
      <c r="J215" s="18"/>
      <c r="K215" s="18"/>
      <c r="L215" s="18"/>
      <c r="M215" s="18"/>
      <c r="N215" s="43" t="str">
        <f>IF(COUNTA(B215)&gt;0,C5,"")</f>
        <v/>
      </c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7"/>
      <c r="AC215" s="18"/>
      <c r="AD215" s="18"/>
      <c r="AE215" s="18"/>
      <c r="AF215" s="18"/>
      <c r="AG215" s="39"/>
      <c r="AH215" s="18"/>
      <c r="AI215" s="18"/>
      <c r="AJ215" s="18"/>
      <c r="AK215" s="18"/>
      <c r="AL215" s="18"/>
      <c r="AM215" s="17"/>
      <c r="AO215" t="str">
        <f t="shared" si="4"/>
        <v/>
      </c>
    </row>
    <row r="216" spans="1:41" ht="15" x14ac:dyDescent="0.2">
      <c r="A216" s="41" t="str">
        <f>IF(COUNTA(B216)&gt;0,208,"")</f>
        <v/>
      </c>
      <c r="B216" s="18"/>
      <c r="C216" s="18"/>
      <c r="D216" s="18"/>
      <c r="E216" s="18"/>
      <c r="F216" s="18"/>
      <c r="G216" s="24" t="str">
        <f t="shared" si="0"/>
        <v/>
      </c>
      <c r="H216" s="18"/>
      <c r="I216" s="39"/>
      <c r="J216" s="18"/>
      <c r="K216" s="18"/>
      <c r="L216" s="18"/>
      <c r="M216" s="18"/>
      <c r="N216" s="43" t="str">
        <f>IF(COUNTA(B216)&gt;0,C5,"")</f>
        <v/>
      </c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7"/>
      <c r="AC216" s="18"/>
      <c r="AD216" s="18"/>
      <c r="AE216" s="18"/>
      <c r="AF216" s="18"/>
      <c r="AG216" s="39"/>
      <c r="AH216" s="18"/>
      <c r="AI216" s="18"/>
      <c r="AJ216" s="18"/>
      <c r="AK216" s="18"/>
      <c r="AL216" s="18"/>
      <c r="AM216" s="17"/>
      <c r="AO216" t="str">
        <f t="shared" si="4"/>
        <v/>
      </c>
    </row>
    <row r="217" spans="1:41" ht="15" x14ac:dyDescent="0.2">
      <c r="A217" s="41" t="str">
        <f>IF(COUNTA(B217)&gt;0,209,"")</f>
        <v/>
      </c>
      <c r="B217" s="18"/>
      <c r="C217" s="18"/>
      <c r="D217" s="18"/>
      <c r="E217" s="18"/>
      <c r="F217" s="18"/>
      <c r="G217" s="24" t="str">
        <f t="shared" si="0"/>
        <v/>
      </c>
      <c r="H217" s="18"/>
      <c r="I217" s="39"/>
      <c r="J217" s="18"/>
      <c r="K217" s="18"/>
      <c r="L217" s="18"/>
      <c r="M217" s="18"/>
      <c r="N217" s="43" t="str">
        <f>IF(COUNTA(B217)&gt;0,C5,"")</f>
        <v/>
      </c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7"/>
      <c r="AC217" s="18"/>
      <c r="AD217" s="18"/>
      <c r="AE217" s="18"/>
      <c r="AF217" s="18"/>
      <c r="AG217" s="39"/>
      <c r="AH217" s="18"/>
      <c r="AI217" s="18"/>
      <c r="AJ217" s="18"/>
      <c r="AK217" s="18"/>
      <c r="AL217" s="18"/>
      <c r="AM217" s="17"/>
      <c r="AO217" t="str">
        <f t="shared" si="4"/>
        <v/>
      </c>
    </row>
    <row r="218" spans="1:41" ht="15" x14ac:dyDescent="0.2">
      <c r="A218" s="41" t="str">
        <f>IF(COUNTA(B218)&gt;0,210,"")</f>
        <v/>
      </c>
      <c r="B218" s="18"/>
      <c r="C218" s="18"/>
      <c r="D218" s="18"/>
      <c r="E218" s="18"/>
      <c r="F218" s="18"/>
      <c r="G218" s="24" t="str">
        <f t="shared" si="0"/>
        <v/>
      </c>
      <c r="H218" s="18"/>
      <c r="I218" s="39"/>
      <c r="J218" s="18"/>
      <c r="K218" s="18"/>
      <c r="L218" s="18"/>
      <c r="M218" s="18"/>
      <c r="N218" s="43" t="str">
        <f>IF(COUNTA(B218)&gt;0,C5,"")</f>
        <v/>
      </c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7"/>
      <c r="AC218" s="18"/>
      <c r="AD218" s="18"/>
      <c r="AE218" s="18"/>
      <c r="AF218" s="18"/>
      <c r="AG218" s="39"/>
      <c r="AH218" s="18"/>
      <c r="AI218" s="18"/>
      <c r="AJ218" s="18"/>
      <c r="AK218" s="18"/>
      <c r="AL218" s="18"/>
      <c r="AM218" s="17"/>
      <c r="AO218" t="str">
        <f t="shared" si="4"/>
        <v/>
      </c>
    </row>
    <row r="219" spans="1:41" ht="15" x14ac:dyDescent="0.2">
      <c r="A219" s="41" t="str">
        <f>IF(COUNTA(B219)&gt;0,211,"")</f>
        <v/>
      </c>
      <c r="B219" s="18"/>
      <c r="C219" s="18"/>
      <c r="D219" s="18"/>
      <c r="E219" s="18"/>
      <c r="F219" s="18"/>
      <c r="G219" s="24" t="str">
        <f t="shared" si="0"/>
        <v/>
      </c>
      <c r="H219" s="18"/>
      <c r="I219" s="39"/>
      <c r="J219" s="18"/>
      <c r="K219" s="18"/>
      <c r="L219" s="18"/>
      <c r="M219" s="18"/>
      <c r="N219" s="43" t="str">
        <f>IF(COUNTA(B219)&gt;0,C5,"")</f>
        <v/>
      </c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7"/>
      <c r="AC219" s="18"/>
      <c r="AD219" s="18"/>
      <c r="AE219" s="18"/>
      <c r="AF219" s="18"/>
      <c r="AG219" s="39"/>
      <c r="AH219" s="18"/>
      <c r="AI219" s="18"/>
      <c r="AJ219" s="18"/>
      <c r="AK219" s="18"/>
      <c r="AL219" s="18"/>
      <c r="AM219" s="17"/>
      <c r="AO219" t="str">
        <f t="shared" si="4"/>
        <v/>
      </c>
    </row>
    <row r="220" spans="1:41" ht="15" x14ac:dyDescent="0.2">
      <c r="A220" s="41" t="str">
        <f>IF(COUNTA(B220)&gt;0,212,"")</f>
        <v/>
      </c>
      <c r="B220" s="18"/>
      <c r="C220" s="18"/>
      <c r="D220" s="18"/>
      <c r="E220" s="18"/>
      <c r="F220" s="18"/>
      <c r="G220" s="24" t="str">
        <f t="shared" si="0"/>
        <v/>
      </c>
      <c r="H220" s="18"/>
      <c r="I220" s="39"/>
      <c r="J220" s="18"/>
      <c r="K220" s="18"/>
      <c r="L220" s="18"/>
      <c r="M220" s="18"/>
      <c r="N220" s="43" t="str">
        <f>IF(COUNTA(B220)&gt;0,C5,"")</f>
        <v/>
      </c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7"/>
      <c r="AC220" s="18"/>
      <c r="AD220" s="18"/>
      <c r="AE220" s="18"/>
      <c r="AF220" s="18"/>
      <c r="AG220" s="39"/>
      <c r="AH220" s="18"/>
      <c r="AI220" s="18"/>
      <c r="AJ220" s="18"/>
      <c r="AK220" s="18"/>
      <c r="AL220" s="18"/>
      <c r="AM220" s="17"/>
      <c r="AO220" t="str">
        <f t="shared" si="4"/>
        <v/>
      </c>
    </row>
    <row r="221" spans="1:41" ht="15" x14ac:dyDescent="0.2">
      <c r="A221" s="41" t="str">
        <f>IF(COUNTA(B221)&gt;0,213,"")</f>
        <v/>
      </c>
      <c r="B221" s="18"/>
      <c r="C221" s="18"/>
      <c r="D221" s="18"/>
      <c r="E221" s="18"/>
      <c r="F221" s="18"/>
      <c r="G221" s="24" t="str">
        <f t="shared" si="0"/>
        <v/>
      </c>
      <c r="H221" s="18"/>
      <c r="I221" s="39"/>
      <c r="J221" s="18"/>
      <c r="K221" s="18"/>
      <c r="L221" s="18"/>
      <c r="M221" s="18"/>
      <c r="N221" s="43" t="str">
        <f>IF(COUNTA(B221)&gt;0,C5,"")</f>
        <v/>
      </c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7"/>
      <c r="AC221" s="18"/>
      <c r="AD221" s="18"/>
      <c r="AE221" s="18"/>
      <c r="AF221" s="18"/>
      <c r="AG221" s="39"/>
      <c r="AH221" s="18"/>
      <c r="AI221" s="18"/>
      <c r="AJ221" s="18"/>
      <c r="AK221" s="18"/>
      <c r="AL221" s="18"/>
      <c r="AM221" s="17"/>
      <c r="AO221" t="str">
        <f t="shared" si="4"/>
        <v/>
      </c>
    </row>
    <row r="222" spans="1:41" ht="15" x14ac:dyDescent="0.2">
      <c r="A222" s="41" t="str">
        <f>IF(COUNTA(B222)&gt;0,214,"")</f>
        <v/>
      </c>
      <c r="B222" s="18"/>
      <c r="C222" s="18"/>
      <c r="D222" s="18"/>
      <c r="E222" s="18"/>
      <c r="F222" s="18"/>
      <c r="G222" s="24" t="str">
        <f t="shared" si="0"/>
        <v/>
      </c>
      <c r="H222" s="18"/>
      <c r="I222" s="39"/>
      <c r="J222" s="18"/>
      <c r="K222" s="18"/>
      <c r="L222" s="18"/>
      <c r="M222" s="18"/>
      <c r="N222" s="43" t="str">
        <f>IF(COUNTA(B222)&gt;0,C5,"")</f>
        <v/>
      </c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7"/>
      <c r="AC222" s="18"/>
      <c r="AD222" s="18"/>
      <c r="AE222" s="18"/>
      <c r="AF222" s="18"/>
      <c r="AG222" s="39"/>
      <c r="AH222" s="18"/>
      <c r="AI222" s="18"/>
      <c r="AJ222" s="18"/>
      <c r="AK222" s="18"/>
      <c r="AL222" s="18"/>
      <c r="AM222" s="17"/>
      <c r="AO222" t="str">
        <f t="shared" si="4"/>
        <v/>
      </c>
    </row>
    <row r="223" spans="1:41" ht="15" x14ac:dyDescent="0.2">
      <c r="A223" s="41" t="str">
        <f>IF(COUNTA(B223)&gt;0,215,"")</f>
        <v/>
      </c>
      <c r="B223" s="18"/>
      <c r="C223" s="18"/>
      <c r="D223" s="18"/>
      <c r="E223" s="18"/>
      <c r="F223" s="18"/>
      <c r="G223" s="24" t="str">
        <f t="shared" si="0"/>
        <v/>
      </c>
      <c r="H223" s="18"/>
      <c r="I223" s="39"/>
      <c r="J223" s="18"/>
      <c r="K223" s="18"/>
      <c r="L223" s="18"/>
      <c r="M223" s="18"/>
      <c r="N223" s="43" t="str">
        <f>IF(COUNTA(B223)&gt;0,C5,"")</f>
        <v/>
      </c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7"/>
      <c r="AC223" s="18"/>
      <c r="AD223" s="18"/>
      <c r="AE223" s="18"/>
      <c r="AF223" s="18"/>
      <c r="AG223" s="39"/>
      <c r="AH223" s="18"/>
      <c r="AI223" s="18"/>
      <c r="AJ223" s="18"/>
      <c r="AK223" s="18"/>
      <c r="AL223" s="18"/>
      <c r="AM223" s="17"/>
      <c r="AO223" t="str">
        <f t="shared" si="4"/>
        <v/>
      </c>
    </row>
    <row r="224" spans="1:41" ht="15" x14ac:dyDescent="0.2">
      <c r="A224" s="41" t="str">
        <f>IF(COUNTA(B224)&gt;0,216,"")</f>
        <v/>
      </c>
      <c r="B224" s="18"/>
      <c r="C224" s="18"/>
      <c r="D224" s="18"/>
      <c r="E224" s="18"/>
      <c r="F224" s="18"/>
      <c r="G224" s="24" t="str">
        <f t="shared" si="0"/>
        <v/>
      </c>
      <c r="H224" s="18"/>
      <c r="I224" s="39"/>
      <c r="J224" s="18"/>
      <c r="K224" s="18"/>
      <c r="L224" s="18"/>
      <c r="M224" s="18"/>
      <c r="N224" s="43" t="str">
        <f>IF(COUNTA(B224)&gt;0,C5,"")</f>
        <v/>
      </c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7"/>
      <c r="AC224" s="18"/>
      <c r="AD224" s="18"/>
      <c r="AE224" s="18"/>
      <c r="AF224" s="18"/>
      <c r="AG224" s="39"/>
      <c r="AH224" s="18"/>
      <c r="AI224" s="18"/>
      <c r="AJ224" s="18"/>
      <c r="AK224" s="18"/>
      <c r="AL224" s="18"/>
      <c r="AM224" s="17"/>
      <c r="AO224" t="str">
        <f t="shared" si="4"/>
        <v/>
      </c>
    </row>
    <row r="225" spans="1:41" ht="15" x14ac:dyDescent="0.2">
      <c r="A225" s="41" t="str">
        <f>IF(COUNTA(B225)&gt;0,217,"")</f>
        <v/>
      </c>
      <c r="B225" s="18"/>
      <c r="C225" s="18"/>
      <c r="D225" s="18"/>
      <c r="E225" s="18"/>
      <c r="F225" s="18"/>
      <c r="G225" s="24" t="str">
        <f t="shared" si="0"/>
        <v/>
      </c>
      <c r="H225" s="18"/>
      <c r="I225" s="39"/>
      <c r="J225" s="18"/>
      <c r="K225" s="18"/>
      <c r="L225" s="18"/>
      <c r="M225" s="18"/>
      <c r="N225" s="43" t="str">
        <f>IF(COUNTA(B225)&gt;0,C5,"")</f>
        <v/>
      </c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7"/>
      <c r="AC225" s="18"/>
      <c r="AD225" s="18"/>
      <c r="AE225" s="18"/>
      <c r="AF225" s="18"/>
      <c r="AG225" s="39"/>
      <c r="AH225" s="18"/>
      <c r="AI225" s="18"/>
      <c r="AJ225" s="18"/>
      <c r="AK225" s="18"/>
      <c r="AL225" s="18"/>
      <c r="AM225" s="17"/>
      <c r="AO225" t="str">
        <f t="shared" si="4"/>
        <v/>
      </c>
    </row>
    <row r="226" spans="1:41" ht="15" x14ac:dyDescent="0.2">
      <c r="A226" s="41" t="str">
        <f>IF(COUNTA(B226)&gt;0,218,"")</f>
        <v/>
      </c>
      <c r="B226" s="18"/>
      <c r="C226" s="18"/>
      <c r="D226" s="18"/>
      <c r="E226" s="18"/>
      <c r="F226" s="18"/>
      <c r="G226" s="24" t="str">
        <f t="shared" si="0"/>
        <v/>
      </c>
      <c r="H226" s="18"/>
      <c r="I226" s="39"/>
      <c r="J226" s="18"/>
      <c r="K226" s="18"/>
      <c r="L226" s="18"/>
      <c r="M226" s="18"/>
      <c r="N226" s="43" t="str">
        <f>IF(COUNTA(B226)&gt;0,C5,"")</f>
        <v/>
      </c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7"/>
      <c r="AC226" s="18"/>
      <c r="AD226" s="18"/>
      <c r="AE226" s="18"/>
      <c r="AF226" s="18"/>
      <c r="AG226" s="39"/>
      <c r="AH226" s="18"/>
      <c r="AI226" s="18"/>
      <c r="AJ226" s="18"/>
      <c r="AK226" s="18"/>
      <c r="AL226" s="18"/>
      <c r="AM226" s="17"/>
      <c r="AO226" t="str">
        <f t="shared" si="4"/>
        <v/>
      </c>
    </row>
    <row r="227" spans="1:41" ht="15" x14ac:dyDescent="0.2">
      <c r="A227" s="41" t="str">
        <f>IF(COUNTA(B227)&gt;0,219,"")</f>
        <v/>
      </c>
      <c r="B227" s="18"/>
      <c r="C227" s="18"/>
      <c r="D227" s="18"/>
      <c r="E227" s="18"/>
      <c r="F227" s="18"/>
      <c r="G227" s="24" t="str">
        <f t="shared" si="0"/>
        <v/>
      </c>
      <c r="H227" s="18"/>
      <c r="I227" s="39"/>
      <c r="J227" s="18"/>
      <c r="K227" s="18"/>
      <c r="L227" s="18"/>
      <c r="M227" s="18"/>
      <c r="N227" s="43" t="str">
        <f>IF(COUNTA(B227)&gt;0,C5,"")</f>
        <v/>
      </c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7"/>
      <c r="AC227" s="18"/>
      <c r="AD227" s="18"/>
      <c r="AE227" s="18"/>
      <c r="AF227" s="18"/>
      <c r="AG227" s="39"/>
      <c r="AH227" s="18"/>
      <c r="AI227" s="18"/>
      <c r="AJ227" s="18"/>
      <c r="AK227" s="18"/>
      <c r="AL227" s="18"/>
      <c r="AM227" s="17"/>
      <c r="AO227" t="str">
        <f t="shared" si="4"/>
        <v/>
      </c>
    </row>
    <row r="228" spans="1:41" ht="15" x14ac:dyDescent="0.2">
      <c r="A228" s="41" t="str">
        <f>IF(COUNTA(B228)&gt;0,220,"")</f>
        <v/>
      </c>
      <c r="B228" s="18"/>
      <c r="C228" s="18"/>
      <c r="D228" s="18"/>
      <c r="E228" s="18"/>
      <c r="F228" s="18"/>
      <c r="G228" s="24" t="str">
        <f t="shared" si="0"/>
        <v/>
      </c>
      <c r="H228" s="18"/>
      <c r="I228" s="39"/>
      <c r="J228" s="18"/>
      <c r="K228" s="18"/>
      <c r="L228" s="18"/>
      <c r="M228" s="18"/>
      <c r="N228" s="43" t="str">
        <f>IF(COUNTA(B228)&gt;0,C5,"")</f>
        <v/>
      </c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7"/>
      <c r="AC228" s="18"/>
      <c r="AD228" s="18"/>
      <c r="AE228" s="18"/>
      <c r="AF228" s="18"/>
      <c r="AG228" s="39"/>
      <c r="AH228" s="18"/>
      <c r="AI228" s="18"/>
      <c r="AJ228" s="18"/>
      <c r="AK228" s="18"/>
      <c r="AL228" s="18"/>
      <c r="AM228" s="17"/>
      <c r="AO228" t="str">
        <f t="shared" si="4"/>
        <v/>
      </c>
    </row>
    <row r="229" spans="1:41" ht="15" x14ac:dyDescent="0.2">
      <c r="A229" s="41" t="str">
        <f>IF(COUNTA(B229)&gt;0,221,"")</f>
        <v/>
      </c>
      <c r="B229" s="18"/>
      <c r="C229" s="18"/>
      <c r="D229" s="18"/>
      <c r="E229" s="18"/>
      <c r="F229" s="18"/>
      <c r="G229" s="24" t="str">
        <f t="shared" si="0"/>
        <v/>
      </c>
      <c r="H229" s="18"/>
      <c r="I229" s="39"/>
      <c r="J229" s="18"/>
      <c r="K229" s="18"/>
      <c r="L229" s="18"/>
      <c r="M229" s="18"/>
      <c r="N229" s="43" t="str">
        <f>IF(COUNTA(B229)&gt;0,C5,"")</f>
        <v/>
      </c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7"/>
      <c r="AC229" s="18"/>
      <c r="AD229" s="18"/>
      <c r="AE229" s="18"/>
      <c r="AF229" s="18"/>
      <c r="AG229" s="39"/>
      <c r="AH229" s="18"/>
      <c r="AI229" s="18"/>
      <c r="AJ229" s="18"/>
      <c r="AK229" s="18"/>
      <c r="AL229" s="18"/>
      <c r="AM229" s="17"/>
      <c r="AO229" t="str">
        <f t="shared" si="4"/>
        <v/>
      </c>
    </row>
    <row r="230" spans="1:41" ht="15" x14ac:dyDescent="0.2">
      <c r="A230" s="41" t="str">
        <f>IF(COUNTA(B230)&gt;0,222,"")</f>
        <v/>
      </c>
      <c r="B230" s="18"/>
      <c r="C230" s="18"/>
      <c r="D230" s="18"/>
      <c r="E230" s="18"/>
      <c r="F230" s="18"/>
      <c r="G230" s="24" t="str">
        <f t="shared" si="0"/>
        <v/>
      </c>
      <c r="H230" s="18"/>
      <c r="I230" s="39"/>
      <c r="J230" s="18"/>
      <c r="K230" s="18"/>
      <c r="L230" s="18"/>
      <c r="M230" s="18"/>
      <c r="N230" s="43" t="str">
        <f>IF(COUNTA(B230)&gt;0,C5,"")</f>
        <v/>
      </c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7"/>
      <c r="AC230" s="18"/>
      <c r="AD230" s="18"/>
      <c r="AE230" s="18"/>
      <c r="AF230" s="18"/>
      <c r="AG230" s="39"/>
      <c r="AH230" s="18"/>
      <c r="AI230" s="18"/>
      <c r="AJ230" s="18"/>
      <c r="AK230" s="18"/>
      <c r="AL230" s="18"/>
      <c r="AM230" s="17"/>
      <c r="AO230" t="str">
        <f t="shared" si="4"/>
        <v/>
      </c>
    </row>
    <row r="231" spans="1:41" ht="15" x14ac:dyDescent="0.2">
      <c r="A231" s="41" t="str">
        <f>IF(COUNTA(B231)&gt;0,223,"")</f>
        <v/>
      </c>
      <c r="B231" s="18"/>
      <c r="C231" s="18"/>
      <c r="D231" s="18"/>
      <c r="E231" s="18"/>
      <c r="F231" s="18"/>
      <c r="G231" s="24" t="str">
        <f t="shared" si="0"/>
        <v/>
      </c>
      <c r="H231" s="18"/>
      <c r="I231" s="39"/>
      <c r="J231" s="18"/>
      <c r="K231" s="18"/>
      <c r="L231" s="18"/>
      <c r="M231" s="18"/>
      <c r="N231" s="43" t="str">
        <f>IF(COUNTA(B231)&gt;0,C5,"")</f>
        <v/>
      </c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7"/>
      <c r="AC231" s="18"/>
      <c r="AD231" s="18"/>
      <c r="AE231" s="18"/>
      <c r="AF231" s="18"/>
      <c r="AG231" s="39"/>
      <c r="AH231" s="18"/>
      <c r="AI231" s="18"/>
      <c r="AJ231" s="18"/>
      <c r="AK231" s="18"/>
      <c r="AL231" s="18"/>
      <c r="AM231" s="17"/>
      <c r="AO231" t="str">
        <f t="shared" si="4"/>
        <v/>
      </c>
    </row>
    <row r="232" spans="1:41" ht="15" x14ac:dyDescent="0.2">
      <c r="A232" s="41" t="str">
        <f>IF(COUNTA(B232)&gt;0,224,"")</f>
        <v/>
      </c>
      <c r="B232" s="18"/>
      <c r="C232" s="18"/>
      <c r="D232" s="18"/>
      <c r="E232" s="18"/>
      <c r="F232" s="18"/>
      <c r="G232" s="24" t="str">
        <f t="shared" si="0"/>
        <v/>
      </c>
      <c r="H232" s="18"/>
      <c r="I232" s="39"/>
      <c r="J232" s="18"/>
      <c r="K232" s="18"/>
      <c r="L232" s="18"/>
      <c r="M232" s="18"/>
      <c r="N232" s="43" t="str">
        <f>IF(COUNTA(B232)&gt;0,C5,"")</f>
        <v/>
      </c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7"/>
      <c r="AC232" s="18"/>
      <c r="AD232" s="18"/>
      <c r="AE232" s="18"/>
      <c r="AF232" s="18"/>
      <c r="AG232" s="39"/>
      <c r="AH232" s="18"/>
      <c r="AI232" s="18"/>
      <c r="AJ232" s="18"/>
      <c r="AK232" s="18"/>
      <c r="AL232" s="18"/>
      <c r="AM232" s="17"/>
      <c r="AO232" t="str">
        <f t="shared" si="4"/>
        <v/>
      </c>
    </row>
    <row r="233" spans="1:41" ht="15" x14ac:dyDescent="0.2">
      <c r="A233" s="41" t="str">
        <f>IF(COUNTA(B233)&gt;0,225,"")</f>
        <v/>
      </c>
      <c r="B233" s="18"/>
      <c r="C233" s="18"/>
      <c r="D233" s="18"/>
      <c r="E233" s="18"/>
      <c r="F233" s="18"/>
      <c r="G233" s="24" t="str">
        <f t="shared" si="0"/>
        <v/>
      </c>
      <c r="H233" s="18"/>
      <c r="I233" s="39"/>
      <c r="J233" s="18"/>
      <c r="K233" s="18"/>
      <c r="L233" s="18"/>
      <c r="M233" s="18"/>
      <c r="N233" s="43" t="str">
        <f>IF(COUNTA(B233)&gt;0,C5,"")</f>
        <v/>
      </c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7"/>
      <c r="AC233" s="18"/>
      <c r="AD233" s="18"/>
      <c r="AE233" s="18"/>
      <c r="AF233" s="18"/>
      <c r="AG233" s="39"/>
      <c r="AH233" s="18"/>
      <c r="AI233" s="18"/>
      <c r="AJ233" s="18"/>
      <c r="AK233" s="18"/>
      <c r="AL233" s="18"/>
      <c r="AM233" s="17"/>
      <c r="AO233" t="str">
        <f t="shared" si="4"/>
        <v/>
      </c>
    </row>
    <row r="234" spans="1:41" ht="15" x14ac:dyDescent="0.2">
      <c r="A234" s="41" t="str">
        <f>IF(COUNTA(B234)&gt;0,226,"")</f>
        <v/>
      </c>
      <c r="B234" s="18"/>
      <c r="C234" s="18"/>
      <c r="D234" s="18"/>
      <c r="E234" s="18"/>
      <c r="F234" s="18"/>
      <c r="G234" s="24" t="str">
        <f t="shared" si="0"/>
        <v/>
      </c>
      <c r="H234" s="18"/>
      <c r="I234" s="39"/>
      <c r="J234" s="18"/>
      <c r="K234" s="18"/>
      <c r="L234" s="18"/>
      <c r="M234" s="18"/>
      <c r="N234" s="43" t="str">
        <f>IF(COUNTA(B234)&gt;0,C5,"")</f>
        <v/>
      </c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7"/>
      <c r="AC234" s="18"/>
      <c r="AD234" s="18"/>
      <c r="AE234" s="18"/>
      <c r="AF234" s="18"/>
      <c r="AG234" s="39"/>
      <c r="AH234" s="18"/>
      <c r="AI234" s="18"/>
      <c r="AJ234" s="18"/>
      <c r="AK234" s="18"/>
      <c r="AL234" s="18"/>
      <c r="AM234" s="17"/>
      <c r="AO234" t="str">
        <f t="shared" si="4"/>
        <v/>
      </c>
    </row>
    <row r="235" spans="1:41" ht="15" x14ac:dyDescent="0.2">
      <c r="A235" s="41" t="str">
        <f>IF(COUNTA(B235)&gt;0,227,"")</f>
        <v/>
      </c>
      <c r="B235" s="18"/>
      <c r="C235" s="18"/>
      <c r="D235" s="18"/>
      <c r="E235" s="18"/>
      <c r="F235" s="18"/>
      <c r="G235" s="24" t="str">
        <f t="shared" si="0"/>
        <v/>
      </c>
      <c r="H235" s="18"/>
      <c r="I235" s="39"/>
      <c r="J235" s="18"/>
      <c r="K235" s="18"/>
      <c r="L235" s="18"/>
      <c r="M235" s="18"/>
      <c r="N235" s="43" t="str">
        <f>IF(COUNTA(B235)&gt;0,C5,"")</f>
        <v/>
      </c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7"/>
      <c r="AC235" s="18"/>
      <c r="AD235" s="18"/>
      <c r="AE235" s="18"/>
      <c r="AF235" s="18"/>
      <c r="AG235" s="39"/>
      <c r="AH235" s="18"/>
      <c r="AI235" s="18"/>
      <c r="AJ235" s="18"/>
      <c r="AK235" s="18"/>
      <c r="AL235" s="18"/>
      <c r="AM235" s="17"/>
      <c r="AO235" t="str">
        <f t="shared" si="4"/>
        <v/>
      </c>
    </row>
    <row r="236" spans="1:41" ht="15" x14ac:dyDescent="0.2">
      <c r="A236" s="41" t="str">
        <f>IF(COUNTA(B236)&gt;0,228,"")</f>
        <v/>
      </c>
      <c r="B236" s="18"/>
      <c r="C236" s="18"/>
      <c r="D236" s="18"/>
      <c r="E236" s="18"/>
      <c r="F236" s="18"/>
      <c r="G236" s="24" t="str">
        <f t="shared" si="0"/>
        <v/>
      </c>
      <c r="H236" s="18"/>
      <c r="I236" s="39"/>
      <c r="J236" s="18"/>
      <c r="K236" s="18"/>
      <c r="L236" s="18"/>
      <c r="M236" s="18"/>
      <c r="N236" s="43" t="str">
        <f>IF(COUNTA(B236)&gt;0,C5,"")</f>
        <v/>
      </c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7"/>
      <c r="AC236" s="18"/>
      <c r="AD236" s="18"/>
      <c r="AE236" s="18"/>
      <c r="AF236" s="18"/>
      <c r="AG236" s="39"/>
      <c r="AH236" s="18"/>
      <c r="AI236" s="18"/>
      <c r="AJ236" s="18"/>
      <c r="AK236" s="18"/>
      <c r="AL236" s="18"/>
      <c r="AM236" s="17"/>
      <c r="AO236" t="str">
        <f t="shared" si="4"/>
        <v/>
      </c>
    </row>
    <row r="237" spans="1:41" ht="15" x14ac:dyDescent="0.2">
      <c r="A237" s="41" t="str">
        <f>IF(COUNTA(B237)&gt;0,229,"")</f>
        <v/>
      </c>
      <c r="B237" s="18"/>
      <c r="C237" s="18"/>
      <c r="D237" s="18"/>
      <c r="E237" s="18"/>
      <c r="F237" s="18"/>
      <c r="G237" s="24" t="str">
        <f t="shared" si="0"/>
        <v/>
      </c>
      <c r="H237" s="18"/>
      <c r="I237" s="39"/>
      <c r="J237" s="18"/>
      <c r="K237" s="18"/>
      <c r="L237" s="18"/>
      <c r="M237" s="18"/>
      <c r="N237" s="43" t="str">
        <f>IF(COUNTA(B237)&gt;0,C5,"")</f>
        <v/>
      </c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7"/>
      <c r="AC237" s="18"/>
      <c r="AD237" s="18"/>
      <c r="AE237" s="18"/>
      <c r="AF237" s="18"/>
      <c r="AG237" s="39"/>
      <c r="AH237" s="18"/>
      <c r="AI237" s="18"/>
      <c r="AJ237" s="18"/>
      <c r="AK237" s="18"/>
      <c r="AL237" s="18"/>
      <c r="AM237" s="17"/>
      <c r="AO237" t="str">
        <f t="shared" si="4"/>
        <v/>
      </c>
    </row>
    <row r="238" spans="1:41" ht="15" x14ac:dyDescent="0.2">
      <c r="A238" s="41" t="str">
        <f>IF(COUNTA(B238)&gt;0,230,"")</f>
        <v/>
      </c>
      <c r="B238" s="18"/>
      <c r="C238" s="18"/>
      <c r="D238" s="18"/>
      <c r="E238" s="18"/>
      <c r="F238" s="18"/>
      <c r="G238" s="24" t="str">
        <f t="shared" si="0"/>
        <v/>
      </c>
      <c r="H238" s="18"/>
      <c r="I238" s="39"/>
      <c r="J238" s="18"/>
      <c r="K238" s="18"/>
      <c r="L238" s="18"/>
      <c r="M238" s="18"/>
      <c r="N238" s="43" t="str">
        <f>IF(COUNTA(B238)&gt;0,C5,"")</f>
        <v/>
      </c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7"/>
      <c r="AC238" s="18"/>
      <c r="AD238" s="18"/>
      <c r="AE238" s="18"/>
      <c r="AF238" s="18"/>
      <c r="AG238" s="39"/>
      <c r="AH238" s="18"/>
      <c r="AI238" s="18"/>
      <c r="AJ238" s="18"/>
      <c r="AK238" s="18"/>
      <c r="AL238" s="18"/>
      <c r="AM238" s="17"/>
      <c r="AO238" t="str">
        <f t="shared" si="4"/>
        <v/>
      </c>
    </row>
    <row r="239" spans="1:41" ht="15" x14ac:dyDescent="0.2">
      <c r="A239" s="41" t="str">
        <f>IF(COUNTA(B239)&gt;0,231,"")</f>
        <v/>
      </c>
      <c r="B239" s="18"/>
      <c r="C239" s="18"/>
      <c r="D239" s="18"/>
      <c r="E239" s="18"/>
      <c r="F239" s="18"/>
      <c r="G239" s="24" t="str">
        <f t="shared" si="0"/>
        <v/>
      </c>
      <c r="H239" s="18"/>
      <c r="I239" s="39"/>
      <c r="J239" s="18"/>
      <c r="K239" s="18"/>
      <c r="L239" s="18"/>
      <c r="M239" s="18"/>
      <c r="N239" s="43" t="str">
        <f>IF(COUNTA(B239)&gt;0,C5,"")</f>
        <v/>
      </c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7"/>
      <c r="AC239" s="18"/>
      <c r="AD239" s="18"/>
      <c r="AE239" s="18"/>
      <c r="AF239" s="18"/>
      <c r="AG239" s="39"/>
      <c r="AH239" s="18"/>
      <c r="AI239" s="18"/>
      <c r="AJ239" s="18"/>
      <c r="AK239" s="18"/>
      <c r="AL239" s="18"/>
      <c r="AM239" s="17"/>
      <c r="AO239" t="str">
        <f t="shared" si="4"/>
        <v/>
      </c>
    </row>
    <row r="240" spans="1:41" ht="15" x14ac:dyDescent="0.2">
      <c r="A240" s="41" t="str">
        <f>IF(COUNTA(B240)&gt;0,232,"")</f>
        <v/>
      </c>
      <c r="B240" s="18"/>
      <c r="C240" s="18"/>
      <c r="D240" s="18"/>
      <c r="E240" s="18"/>
      <c r="F240" s="18"/>
      <c r="G240" s="24" t="str">
        <f t="shared" si="0"/>
        <v/>
      </c>
      <c r="H240" s="18"/>
      <c r="I240" s="39"/>
      <c r="J240" s="18"/>
      <c r="K240" s="18"/>
      <c r="L240" s="18"/>
      <c r="M240" s="18"/>
      <c r="N240" s="43" t="str">
        <f>IF(COUNTA(B240)&gt;0,C5,"")</f>
        <v/>
      </c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7"/>
      <c r="AC240" s="18"/>
      <c r="AD240" s="18"/>
      <c r="AE240" s="18"/>
      <c r="AF240" s="18"/>
      <c r="AG240" s="39"/>
      <c r="AH240" s="18"/>
      <c r="AI240" s="18"/>
      <c r="AJ240" s="18"/>
      <c r="AK240" s="18"/>
      <c r="AL240" s="18"/>
      <c r="AM240" s="17"/>
      <c r="AO240" t="str">
        <f t="shared" si="4"/>
        <v/>
      </c>
    </row>
    <row r="241" spans="1:41" ht="15" x14ac:dyDescent="0.2">
      <c r="A241" s="41" t="str">
        <f>IF(COUNTA(B241)&gt;0,233,"")</f>
        <v/>
      </c>
      <c r="B241" s="18"/>
      <c r="C241" s="18"/>
      <c r="D241" s="18"/>
      <c r="E241" s="18"/>
      <c r="F241" s="18"/>
      <c r="G241" s="24" t="str">
        <f t="shared" si="0"/>
        <v/>
      </c>
      <c r="H241" s="18"/>
      <c r="I241" s="39"/>
      <c r="J241" s="18"/>
      <c r="K241" s="18"/>
      <c r="L241" s="18"/>
      <c r="M241" s="18"/>
      <c r="N241" s="43" t="str">
        <f>IF(COUNTA(B241)&gt;0,C5,"")</f>
        <v/>
      </c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7"/>
      <c r="AC241" s="18"/>
      <c r="AD241" s="18"/>
      <c r="AE241" s="18"/>
      <c r="AF241" s="18"/>
      <c r="AG241" s="39"/>
      <c r="AH241" s="18"/>
      <c r="AI241" s="18"/>
      <c r="AJ241" s="18"/>
      <c r="AK241" s="18"/>
      <c r="AL241" s="18"/>
      <c r="AM241" s="17"/>
      <c r="AO241" t="str">
        <f t="shared" si="4"/>
        <v/>
      </c>
    </row>
    <row r="242" spans="1:41" ht="15" x14ac:dyDescent="0.2">
      <c r="A242" s="41" t="str">
        <f>IF(COUNTA(B242)&gt;0,234,"")</f>
        <v/>
      </c>
      <c r="B242" s="18"/>
      <c r="C242" s="18"/>
      <c r="D242" s="18"/>
      <c r="E242" s="18"/>
      <c r="F242" s="18"/>
      <c r="G242" s="24" t="str">
        <f t="shared" si="0"/>
        <v/>
      </c>
      <c r="H242" s="18"/>
      <c r="I242" s="39"/>
      <c r="J242" s="18"/>
      <c r="K242" s="18"/>
      <c r="L242" s="18"/>
      <c r="M242" s="18"/>
      <c r="N242" s="43" t="str">
        <f>IF(COUNTA(B242)&gt;0,C5,"")</f>
        <v/>
      </c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7"/>
      <c r="AC242" s="18"/>
      <c r="AD242" s="18"/>
      <c r="AE242" s="18"/>
      <c r="AF242" s="18"/>
      <c r="AG242" s="39"/>
      <c r="AH242" s="18"/>
      <c r="AI242" s="18"/>
      <c r="AJ242" s="18"/>
      <c r="AK242" s="18"/>
      <c r="AL242" s="18"/>
      <c r="AM242" s="17"/>
      <c r="AO242" t="str">
        <f t="shared" si="4"/>
        <v/>
      </c>
    </row>
    <row r="243" spans="1:41" ht="15" x14ac:dyDescent="0.2">
      <c r="A243" s="41" t="str">
        <f>IF(COUNTA(B243)&gt;0,235,"")</f>
        <v/>
      </c>
      <c r="B243" s="18"/>
      <c r="C243" s="18"/>
      <c r="D243" s="18"/>
      <c r="E243" s="18"/>
      <c r="F243" s="18"/>
      <c r="G243" s="24" t="str">
        <f t="shared" si="0"/>
        <v/>
      </c>
      <c r="H243" s="18"/>
      <c r="I243" s="39"/>
      <c r="J243" s="18"/>
      <c r="K243" s="18"/>
      <c r="L243" s="18"/>
      <c r="M243" s="18"/>
      <c r="N243" s="43" t="str">
        <f>IF(COUNTA(B243)&gt;0,C5,"")</f>
        <v/>
      </c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7"/>
      <c r="AC243" s="18"/>
      <c r="AD243" s="18"/>
      <c r="AE243" s="18"/>
      <c r="AF243" s="18"/>
      <c r="AG243" s="39"/>
      <c r="AH243" s="18"/>
      <c r="AI243" s="18"/>
      <c r="AJ243" s="18"/>
      <c r="AK243" s="18"/>
      <c r="AL243" s="18"/>
      <c r="AM243" s="17"/>
      <c r="AO243" t="str">
        <f t="shared" si="4"/>
        <v/>
      </c>
    </row>
    <row r="244" spans="1:41" ht="15" x14ac:dyDescent="0.2">
      <c r="A244" s="41" t="str">
        <f>IF(COUNTA(B244)&gt;0,236,"")</f>
        <v/>
      </c>
      <c r="B244" s="18"/>
      <c r="C244" s="18"/>
      <c r="D244" s="18"/>
      <c r="E244" s="18"/>
      <c r="F244" s="18"/>
      <c r="G244" s="24" t="str">
        <f t="shared" si="0"/>
        <v/>
      </c>
      <c r="H244" s="18"/>
      <c r="I244" s="39"/>
      <c r="J244" s="18"/>
      <c r="K244" s="18"/>
      <c r="L244" s="18"/>
      <c r="M244" s="18"/>
      <c r="N244" s="43" t="str">
        <f>IF(COUNTA(B244)&gt;0,C5,"")</f>
        <v/>
      </c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7"/>
      <c r="AC244" s="18"/>
      <c r="AD244" s="18"/>
      <c r="AE244" s="18"/>
      <c r="AF244" s="18"/>
      <c r="AG244" s="39"/>
      <c r="AH244" s="18"/>
      <c r="AI244" s="18"/>
      <c r="AJ244" s="18"/>
      <c r="AK244" s="18"/>
      <c r="AL244" s="18"/>
      <c r="AM244" s="17"/>
      <c r="AO244" t="str">
        <f t="shared" si="4"/>
        <v/>
      </c>
    </row>
    <row r="245" spans="1:41" ht="15" x14ac:dyDescent="0.2">
      <c r="A245" s="41" t="str">
        <f>IF(COUNTA(B245)&gt;0,237,"")</f>
        <v/>
      </c>
      <c r="B245" s="18"/>
      <c r="C245" s="18"/>
      <c r="D245" s="18"/>
      <c r="E245" s="18"/>
      <c r="F245" s="18"/>
      <c r="G245" s="24" t="str">
        <f t="shared" si="0"/>
        <v/>
      </c>
      <c r="H245" s="18"/>
      <c r="I245" s="39"/>
      <c r="J245" s="18"/>
      <c r="K245" s="18"/>
      <c r="L245" s="18"/>
      <c r="M245" s="18"/>
      <c r="N245" s="43" t="str">
        <f>IF(COUNTA(B245)&gt;0,C5,"")</f>
        <v/>
      </c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7"/>
      <c r="AC245" s="18"/>
      <c r="AD245" s="18"/>
      <c r="AE245" s="18"/>
      <c r="AF245" s="18"/>
      <c r="AG245" s="39"/>
      <c r="AH245" s="18"/>
      <c r="AI245" s="18"/>
      <c r="AJ245" s="18"/>
      <c r="AK245" s="18"/>
      <c r="AL245" s="18"/>
      <c r="AM245" s="17"/>
      <c r="AO245" t="str">
        <f t="shared" si="4"/>
        <v/>
      </c>
    </row>
    <row r="246" spans="1:41" ht="15" x14ac:dyDescent="0.2">
      <c r="A246" s="41" t="str">
        <f>IF(COUNTA(B246)&gt;0,238,"")</f>
        <v/>
      </c>
      <c r="B246" s="18"/>
      <c r="C246" s="18"/>
      <c r="D246" s="18"/>
      <c r="E246" s="18"/>
      <c r="F246" s="18"/>
      <c r="G246" s="24" t="str">
        <f t="shared" si="0"/>
        <v/>
      </c>
      <c r="H246" s="18"/>
      <c r="I246" s="39"/>
      <c r="J246" s="18"/>
      <c r="K246" s="18"/>
      <c r="L246" s="18"/>
      <c r="M246" s="18"/>
      <c r="N246" s="43" t="str">
        <f>IF(COUNTA(B246)&gt;0,C5,"")</f>
        <v/>
      </c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7"/>
      <c r="AC246" s="18"/>
      <c r="AD246" s="18"/>
      <c r="AE246" s="18"/>
      <c r="AF246" s="18"/>
      <c r="AG246" s="39"/>
      <c r="AH246" s="18"/>
      <c r="AI246" s="18"/>
      <c r="AJ246" s="18"/>
      <c r="AK246" s="18"/>
      <c r="AL246" s="18"/>
      <c r="AM246" s="17"/>
      <c r="AO246" t="str">
        <f t="shared" si="4"/>
        <v/>
      </c>
    </row>
    <row r="247" spans="1:41" ht="15" x14ac:dyDescent="0.2">
      <c r="A247" s="41" t="str">
        <f>IF(COUNTA(B247)&gt;0,239,"")</f>
        <v/>
      </c>
      <c r="B247" s="18"/>
      <c r="C247" s="18"/>
      <c r="D247" s="18"/>
      <c r="E247" s="18"/>
      <c r="F247" s="18"/>
      <c r="G247" s="24" t="str">
        <f t="shared" si="0"/>
        <v/>
      </c>
      <c r="H247" s="18"/>
      <c r="I247" s="39"/>
      <c r="J247" s="18"/>
      <c r="K247" s="18"/>
      <c r="L247" s="18"/>
      <c r="M247" s="18"/>
      <c r="N247" s="43" t="str">
        <f>IF(COUNTA(B247)&gt;0,C5,"")</f>
        <v/>
      </c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7"/>
      <c r="AC247" s="18"/>
      <c r="AD247" s="18"/>
      <c r="AE247" s="18"/>
      <c r="AF247" s="18"/>
      <c r="AG247" s="39"/>
      <c r="AH247" s="18"/>
      <c r="AI247" s="18"/>
      <c r="AJ247" s="18"/>
      <c r="AK247" s="18"/>
      <c r="AL247" s="18"/>
      <c r="AM247" s="17"/>
      <c r="AO247" t="str">
        <f t="shared" si="4"/>
        <v/>
      </c>
    </row>
    <row r="248" spans="1:41" ht="15" x14ac:dyDescent="0.2">
      <c r="A248" s="41" t="str">
        <f>IF(COUNTA(B248)&gt;0,240,"")</f>
        <v/>
      </c>
      <c r="B248" s="18"/>
      <c r="C248" s="18"/>
      <c r="D248" s="18"/>
      <c r="E248" s="18"/>
      <c r="F248" s="18"/>
      <c r="G248" s="24" t="str">
        <f t="shared" si="0"/>
        <v/>
      </c>
      <c r="H248" s="18"/>
      <c r="I248" s="39"/>
      <c r="J248" s="18"/>
      <c r="K248" s="18"/>
      <c r="L248" s="18"/>
      <c r="M248" s="18"/>
      <c r="N248" s="43" t="str">
        <f>IF(COUNTA(B248)&gt;0,C5,"")</f>
        <v/>
      </c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7"/>
      <c r="AC248" s="18"/>
      <c r="AD248" s="18"/>
      <c r="AE248" s="18"/>
      <c r="AF248" s="18"/>
      <c r="AG248" s="39"/>
      <c r="AH248" s="18"/>
      <c r="AI248" s="18"/>
      <c r="AJ248" s="18"/>
      <c r="AK248" s="18"/>
      <c r="AL248" s="18"/>
      <c r="AM248" s="17"/>
      <c r="AO248" t="str">
        <f t="shared" si="4"/>
        <v/>
      </c>
    </row>
    <row r="249" spans="1:41" ht="15" x14ac:dyDescent="0.2">
      <c r="A249" s="41" t="str">
        <f>IF(COUNTA(B249)&gt;0,241,"")</f>
        <v/>
      </c>
      <c r="B249" s="18"/>
      <c r="C249" s="18"/>
      <c r="D249" s="18"/>
      <c r="E249" s="18"/>
      <c r="F249" s="18"/>
      <c r="G249" s="24" t="str">
        <f t="shared" si="0"/>
        <v/>
      </c>
      <c r="H249" s="18"/>
      <c r="I249" s="39"/>
      <c r="J249" s="18"/>
      <c r="K249" s="18"/>
      <c r="L249" s="18"/>
      <c r="M249" s="18"/>
      <c r="N249" s="43" t="str">
        <f>IF(COUNTA(B249)&gt;0,C5,"")</f>
        <v/>
      </c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7"/>
      <c r="AC249" s="18"/>
      <c r="AD249" s="18"/>
      <c r="AE249" s="18"/>
      <c r="AF249" s="18"/>
      <c r="AG249" s="39"/>
      <c r="AH249" s="18"/>
      <c r="AI249" s="18"/>
      <c r="AJ249" s="18"/>
      <c r="AK249" s="18"/>
      <c r="AL249" s="18"/>
      <c r="AM249" s="17"/>
      <c r="AO249" t="str">
        <f t="shared" si="4"/>
        <v/>
      </c>
    </row>
    <row r="250" spans="1:41" ht="15" x14ac:dyDescent="0.2">
      <c r="A250" s="41" t="str">
        <f>IF(COUNTA(B250)&gt;0,242,"")</f>
        <v/>
      </c>
      <c r="B250" s="18"/>
      <c r="C250" s="18"/>
      <c r="D250" s="18"/>
      <c r="E250" s="18"/>
      <c r="F250" s="18"/>
      <c r="G250" s="24" t="str">
        <f t="shared" si="0"/>
        <v/>
      </c>
      <c r="H250" s="18"/>
      <c r="I250" s="39"/>
      <c r="J250" s="18"/>
      <c r="K250" s="18"/>
      <c r="L250" s="18"/>
      <c r="M250" s="18"/>
      <c r="N250" s="43" t="str">
        <f>IF(COUNTA(B250)&gt;0,C5,"")</f>
        <v/>
      </c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7"/>
      <c r="AC250" s="18"/>
      <c r="AD250" s="18"/>
      <c r="AE250" s="18"/>
      <c r="AF250" s="18"/>
      <c r="AG250" s="39"/>
      <c r="AH250" s="18"/>
      <c r="AI250" s="18"/>
      <c r="AJ250" s="18"/>
      <c r="AK250" s="18"/>
      <c r="AL250" s="18"/>
      <c r="AM250" s="17"/>
      <c r="AO250" t="str">
        <f t="shared" si="4"/>
        <v/>
      </c>
    </row>
    <row r="251" spans="1:41" ht="15" x14ac:dyDescent="0.2">
      <c r="A251" s="41" t="str">
        <f>IF(COUNTA(B251)&gt;0,243,"")</f>
        <v/>
      </c>
      <c r="B251" s="18"/>
      <c r="C251" s="18"/>
      <c r="D251" s="18"/>
      <c r="E251" s="18"/>
      <c r="F251" s="18"/>
      <c r="G251" s="24" t="str">
        <f t="shared" si="0"/>
        <v/>
      </c>
      <c r="H251" s="18"/>
      <c r="I251" s="39"/>
      <c r="J251" s="18"/>
      <c r="K251" s="18"/>
      <c r="L251" s="18"/>
      <c r="M251" s="18"/>
      <c r="N251" s="43" t="str">
        <f>IF(COUNTA(B251)&gt;0,C5,"")</f>
        <v/>
      </c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7"/>
      <c r="AC251" s="18"/>
      <c r="AD251" s="18"/>
      <c r="AE251" s="18"/>
      <c r="AF251" s="18"/>
      <c r="AG251" s="39"/>
      <c r="AH251" s="18"/>
      <c r="AI251" s="18"/>
      <c r="AJ251" s="18"/>
      <c r="AK251" s="18"/>
      <c r="AL251" s="18"/>
      <c r="AM251" s="17"/>
      <c r="AO251" t="str">
        <f t="shared" si="4"/>
        <v/>
      </c>
    </row>
    <row r="252" spans="1:41" ht="15" x14ac:dyDescent="0.2">
      <c r="A252" s="41" t="str">
        <f>IF(COUNTA(B252)&gt;0,244,"")</f>
        <v/>
      </c>
      <c r="B252" s="18"/>
      <c r="C252" s="18"/>
      <c r="D252" s="18"/>
      <c r="E252" s="18"/>
      <c r="F252" s="18"/>
      <c r="G252" s="24" t="str">
        <f t="shared" si="0"/>
        <v/>
      </c>
      <c r="H252" s="18"/>
      <c r="I252" s="39"/>
      <c r="J252" s="18"/>
      <c r="K252" s="18"/>
      <c r="L252" s="18"/>
      <c r="M252" s="18"/>
      <c r="N252" s="43" t="str">
        <f>IF(COUNTA(B252)&gt;0,C5,"")</f>
        <v/>
      </c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7"/>
      <c r="AC252" s="18"/>
      <c r="AD252" s="18"/>
      <c r="AE252" s="18"/>
      <c r="AF252" s="18"/>
      <c r="AG252" s="39"/>
      <c r="AH252" s="18"/>
      <c r="AI252" s="18"/>
      <c r="AJ252" s="18"/>
      <c r="AK252" s="18"/>
      <c r="AL252" s="18"/>
      <c r="AM252" s="17"/>
      <c r="AO252" t="str">
        <f t="shared" si="4"/>
        <v/>
      </c>
    </row>
    <row r="253" spans="1:41" ht="15" x14ac:dyDescent="0.2">
      <c r="A253" s="41" t="str">
        <f>IF(COUNTA(B253)&gt;0,245,"")</f>
        <v/>
      </c>
      <c r="B253" s="18"/>
      <c r="C253" s="18"/>
      <c r="D253" s="18"/>
      <c r="E253" s="18"/>
      <c r="F253" s="18"/>
      <c r="G253" s="24" t="str">
        <f t="shared" si="0"/>
        <v/>
      </c>
      <c r="H253" s="18"/>
      <c r="I253" s="39"/>
      <c r="J253" s="18"/>
      <c r="K253" s="18"/>
      <c r="L253" s="18"/>
      <c r="M253" s="18"/>
      <c r="N253" s="43" t="str">
        <f>IF(COUNTA(B253)&gt;0,C5,"")</f>
        <v/>
      </c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7"/>
      <c r="AC253" s="18"/>
      <c r="AD253" s="18"/>
      <c r="AE253" s="18"/>
      <c r="AF253" s="18"/>
      <c r="AG253" s="39"/>
      <c r="AH253" s="18"/>
      <c r="AI253" s="18"/>
      <c r="AJ253" s="18"/>
      <c r="AK253" s="18"/>
      <c r="AL253" s="18"/>
      <c r="AM253" s="17"/>
      <c r="AO253" t="str">
        <f t="shared" si="4"/>
        <v/>
      </c>
    </row>
    <row r="254" spans="1:41" ht="15" x14ac:dyDescent="0.2">
      <c r="A254" s="41" t="str">
        <f>IF(COUNTA(B254)&gt;0,246,"")</f>
        <v/>
      </c>
      <c r="B254" s="18"/>
      <c r="C254" s="18"/>
      <c r="D254" s="18"/>
      <c r="E254" s="18"/>
      <c r="F254" s="18"/>
      <c r="G254" s="24" t="str">
        <f t="shared" si="0"/>
        <v/>
      </c>
      <c r="H254" s="18"/>
      <c r="I254" s="39"/>
      <c r="J254" s="18"/>
      <c r="K254" s="18"/>
      <c r="L254" s="18"/>
      <c r="M254" s="18"/>
      <c r="N254" s="43" t="str">
        <f>IF(COUNTA(B254)&gt;0,C5,"")</f>
        <v/>
      </c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7"/>
      <c r="AC254" s="18"/>
      <c r="AD254" s="18"/>
      <c r="AE254" s="18"/>
      <c r="AF254" s="18"/>
      <c r="AG254" s="39"/>
      <c r="AH254" s="18"/>
      <c r="AI254" s="18"/>
      <c r="AJ254" s="18"/>
      <c r="AK254" s="18"/>
      <c r="AL254" s="18"/>
      <c r="AM254" s="17"/>
      <c r="AO254" t="str">
        <f t="shared" si="4"/>
        <v/>
      </c>
    </row>
    <row r="255" spans="1:41" ht="15" x14ac:dyDescent="0.2">
      <c r="A255" s="41" t="str">
        <f>IF(COUNTA(B255)&gt;0,247,"")</f>
        <v/>
      </c>
      <c r="B255" s="18"/>
      <c r="C255" s="18"/>
      <c r="D255" s="18"/>
      <c r="E255" s="18"/>
      <c r="F255" s="18"/>
      <c r="G255" s="24" t="str">
        <f t="shared" si="0"/>
        <v/>
      </c>
      <c r="H255" s="18"/>
      <c r="I255" s="39"/>
      <c r="J255" s="18"/>
      <c r="K255" s="18"/>
      <c r="L255" s="18"/>
      <c r="M255" s="18"/>
      <c r="N255" s="43" t="str">
        <f>IF(COUNTA(B255)&gt;0,C5,"")</f>
        <v/>
      </c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7"/>
      <c r="AC255" s="18"/>
      <c r="AD255" s="18"/>
      <c r="AE255" s="18"/>
      <c r="AF255" s="18"/>
      <c r="AG255" s="39"/>
      <c r="AH255" s="18"/>
      <c r="AI255" s="18"/>
      <c r="AJ255" s="18"/>
      <c r="AK255" s="18"/>
      <c r="AL255" s="18"/>
      <c r="AM255" s="17"/>
      <c r="AO255" t="str">
        <f t="shared" si="4"/>
        <v/>
      </c>
    </row>
    <row r="256" spans="1:41" ht="15" x14ac:dyDescent="0.2">
      <c r="A256" s="41" t="str">
        <f>IF(COUNTA(B256)&gt;0,248,"")</f>
        <v/>
      </c>
      <c r="B256" s="18"/>
      <c r="C256" s="18"/>
      <c r="D256" s="18"/>
      <c r="E256" s="18"/>
      <c r="F256" s="18"/>
      <c r="G256" s="24" t="str">
        <f t="shared" si="0"/>
        <v/>
      </c>
      <c r="H256" s="18"/>
      <c r="I256" s="39"/>
      <c r="J256" s="18"/>
      <c r="K256" s="18"/>
      <c r="L256" s="18"/>
      <c r="M256" s="18"/>
      <c r="N256" s="43" t="str">
        <f>IF(COUNTA(B256)&gt;0,C5,"")</f>
        <v/>
      </c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7"/>
      <c r="AC256" s="18"/>
      <c r="AD256" s="18"/>
      <c r="AE256" s="18"/>
      <c r="AF256" s="18"/>
      <c r="AG256" s="39"/>
      <c r="AH256" s="18"/>
      <c r="AI256" s="18"/>
      <c r="AJ256" s="18"/>
      <c r="AK256" s="18"/>
      <c r="AL256" s="18"/>
      <c r="AM256" s="17"/>
      <c r="AO256" t="str">
        <f t="shared" si="4"/>
        <v/>
      </c>
    </row>
    <row r="257" spans="1:41" ht="15" x14ac:dyDescent="0.2">
      <c r="A257" s="41" t="str">
        <f>IF(COUNTA(B257)&gt;0,249,"")</f>
        <v/>
      </c>
      <c r="B257" s="18"/>
      <c r="C257" s="18"/>
      <c r="D257" s="18"/>
      <c r="E257" s="18"/>
      <c r="F257" s="18"/>
      <c r="G257" s="24" t="str">
        <f t="shared" si="0"/>
        <v/>
      </c>
      <c r="H257" s="18"/>
      <c r="I257" s="39"/>
      <c r="J257" s="18"/>
      <c r="K257" s="18"/>
      <c r="L257" s="18"/>
      <c r="M257" s="18"/>
      <c r="N257" s="43" t="str">
        <f>IF(COUNTA(B257)&gt;0,C5,"")</f>
        <v/>
      </c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7"/>
      <c r="AC257" s="18"/>
      <c r="AD257" s="18"/>
      <c r="AE257" s="18"/>
      <c r="AF257" s="18"/>
      <c r="AG257" s="39"/>
      <c r="AH257" s="18"/>
      <c r="AI257" s="18"/>
      <c r="AJ257" s="18"/>
      <c r="AK257" s="18"/>
      <c r="AL257" s="18"/>
      <c r="AM257" s="17"/>
      <c r="AO257" t="str">
        <f t="shared" si="4"/>
        <v/>
      </c>
    </row>
    <row r="258" spans="1:41" ht="15" x14ac:dyDescent="0.2">
      <c r="A258" s="41" t="str">
        <f>IF(COUNTA(B258)&gt;0,250,"")</f>
        <v/>
      </c>
      <c r="B258" s="18"/>
      <c r="C258" s="18"/>
      <c r="D258" s="18"/>
      <c r="E258" s="18"/>
      <c r="F258" s="18"/>
      <c r="G258" s="24" t="str">
        <f t="shared" si="0"/>
        <v/>
      </c>
      <c r="H258" s="18"/>
      <c r="I258" s="39"/>
      <c r="J258" s="18"/>
      <c r="K258" s="18"/>
      <c r="L258" s="18"/>
      <c r="M258" s="18"/>
      <c r="N258" s="43" t="str">
        <f>IF(COUNTA(B258)&gt;0,C5,"")</f>
        <v/>
      </c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7"/>
      <c r="AC258" s="18"/>
      <c r="AD258" s="18"/>
      <c r="AE258" s="18"/>
      <c r="AF258" s="18"/>
      <c r="AG258" s="39"/>
      <c r="AH258" s="18"/>
      <c r="AI258" s="18"/>
      <c r="AJ258" s="18"/>
      <c r="AK258" s="18"/>
      <c r="AL258" s="18"/>
      <c r="AM258" s="17"/>
      <c r="AO258" t="str">
        <f t="shared" si="4"/>
        <v/>
      </c>
    </row>
    <row r="259" spans="1:41" ht="15" x14ac:dyDescent="0.2">
      <c r="A259" s="41" t="str">
        <f>IF(COUNTA(B259)&gt;0,251,"")</f>
        <v/>
      </c>
      <c r="B259" s="18"/>
      <c r="C259" s="18"/>
      <c r="D259" s="18"/>
      <c r="E259" s="18"/>
      <c r="F259" s="18"/>
      <c r="G259" s="24" t="str">
        <f t="shared" si="0"/>
        <v/>
      </c>
      <c r="H259" s="18"/>
      <c r="I259" s="39"/>
      <c r="J259" s="18"/>
      <c r="K259" s="18"/>
      <c r="L259" s="18"/>
      <c r="M259" s="18"/>
      <c r="N259" s="43" t="str">
        <f>IF(COUNTA(B259)&gt;0,C5,"")</f>
        <v/>
      </c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7"/>
      <c r="AC259" s="18"/>
      <c r="AD259" s="18"/>
      <c r="AE259" s="18"/>
      <c r="AF259" s="18"/>
      <c r="AG259" s="39"/>
      <c r="AH259" s="18"/>
      <c r="AI259" s="18"/>
      <c r="AJ259" s="18"/>
      <c r="AK259" s="18"/>
      <c r="AL259" s="18"/>
      <c r="AM259" s="17"/>
      <c r="AO259" t="str">
        <f t="shared" si="4"/>
        <v/>
      </c>
    </row>
    <row r="260" spans="1:41" ht="15" x14ac:dyDescent="0.2">
      <c r="A260" s="41" t="str">
        <f>IF(COUNTA(B260)&gt;0,252,"")</f>
        <v/>
      </c>
      <c r="B260" s="18"/>
      <c r="C260" s="18"/>
      <c r="D260" s="18"/>
      <c r="E260" s="18"/>
      <c r="F260" s="18"/>
      <c r="G260" s="24" t="str">
        <f t="shared" si="0"/>
        <v/>
      </c>
      <c r="H260" s="18"/>
      <c r="I260" s="39"/>
      <c r="J260" s="18"/>
      <c r="K260" s="18"/>
      <c r="L260" s="18"/>
      <c r="M260" s="18"/>
      <c r="N260" s="43" t="str">
        <f>IF(COUNTA(B260)&gt;0,C5,"")</f>
        <v/>
      </c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7"/>
      <c r="AC260" s="18"/>
      <c r="AD260" s="18"/>
      <c r="AE260" s="18"/>
      <c r="AF260" s="18"/>
      <c r="AG260" s="39"/>
      <c r="AH260" s="18"/>
      <c r="AI260" s="18"/>
      <c r="AJ260" s="18"/>
      <c r="AK260" s="18"/>
      <c r="AL260" s="18"/>
      <c r="AM260" s="17"/>
      <c r="AO260" t="str">
        <f t="shared" si="4"/>
        <v/>
      </c>
    </row>
    <row r="261" spans="1:41" ht="15" x14ac:dyDescent="0.2">
      <c r="A261" s="41" t="str">
        <f>IF(COUNTA(B261)&gt;0,253,"")</f>
        <v/>
      </c>
      <c r="B261" s="18"/>
      <c r="C261" s="18"/>
      <c r="D261" s="18"/>
      <c r="E261" s="18"/>
      <c r="F261" s="18"/>
      <c r="G261" s="24" t="str">
        <f t="shared" si="0"/>
        <v/>
      </c>
      <c r="H261" s="18"/>
      <c r="I261" s="39"/>
      <c r="J261" s="18"/>
      <c r="K261" s="18"/>
      <c r="L261" s="18"/>
      <c r="M261" s="18"/>
      <c r="N261" s="43" t="str">
        <f>IF(COUNTA(B261)&gt;0,C5,"")</f>
        <v/>
      </c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7"/>
      <c r="AC261" s="18"/>
      <c r="AD261" s="18"/>
      <c r="AE261" s="18"/>
      <c r="AF261" s="18"/>
      <c r="AG261" s="39"/>
      <c r="AH261" s="18"/>
      <c r="AI261" s="18"/>
      <c r="AJ261" s="18"/>
      <c r="AK261" s="18"/>
      <c r="AL261" s="18"/>
      <c r="AM261" s="17"/>
      <c r="AO261" t="str">
        <f t="shared" si="4"/>
        <v/>
      </c>
    </row>
    <row r="262" spans="1:41" ht="15" x14ac:dyDescent="0.2">
      <c r="A262" s="41" t="str">
        <f>IF(COUNTA(B262)&gt;0,254,"")</f>
        <v/>
      </c>
      <c r="B262" s="18"/>
      <c r="C262" s="18"/>
      <c r="D262" s="18"/>
      <c r="E262" s="18"/>
      <c r="F262" s="18"/>
      <c r="G262" s="24" t="str">
        <f t="shared" si="0"/>
        <v/>
      </c>
      <c r="H262" s="18"/>
      <c r="I262" s="39"/>
      <c r="J262" s="18"/>
      <c r="K262" s="18"/>
      <c r="L262" s="18"/>
      <c r="M262" s="18"/>
      <c r="N262" s="43" t="str">
        <f>IF(COUNTA(B262)&gt;0,C5,"")</f>
        <v/>
      </c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7"/>
      <c r="AC262" s="18"/>
      <c r="AD262" s="18"/>
      <c r="AE262" s="18"/>
      <c r="AF262" s="18"/>
      <c r="AG262" s="39"/>
      <c r="AH262" s="18"/>
      <c r="AI262" s="18"/>
      <c r="AJ262" s="18"/>
      <c r="AK262" s="18"/>
      <c r="AL262" s="18"/>
      <c r="AM262" s="17"/>
      <c r="AO262" t="str">
        <f t="shared" si="4"/>
        <v/>
      </c>
    </row>
    <row r="263" spans="1:41" ht="15" x14ac:dyDescent="0.2">
      <c r="A263" s="41" t="str">
        <f>IF(COUNTA(B263)&gt;0,255,"")</f>
        <v/>
      </c>
      <c r="B263" s="18"/>
      <c r="C263" s="18"/>
      <c r="D263" s="18"/>
      <c r="E263" s="18"/>
      <c r="F263" s="18"/>
      <c r="G263" s="24" t="str">
        <f t="shared" si="0"/>
        <v/>
      </c>
      <c r="H263" s="18"/>
      <c r="I263" s="39"/>
      <c r="J263" s="18"/>
      <c r="K263" s="18"/>
      <c r="L263" s="18"/>
      <c r="M263" s="18"/>
      <c r="N263" s="43" t="str">
        <f>IF(COUNTA(B263)&gt;0,C5,"")</f>
        <v/>
      </c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7"/>
      <c r="AC263" s="18"/>
      <c r="AD263" s="18"/>
      <c r="AE263" s="18"/>
      <c r="AF263" s="18"/>
      <c r="AG263" s="39"/>
      <c r="AH263" s="18"/>
      <c r="AI263" s="18"/>
      <c r="AJ263" s="18"/>
      <c r="AK263" s="18"/>
      <c r="AL263" s="18"/>
      <c r="AM263" s="17"/>
      <c r="AO263" t="str">
        <f t="shared" si="4"/>
        <v/>
      </c>
    </row>
    <row r="264" spans="1:41" ht="15" x14ac:dyDescent="0.2">
      <c r="A264" s="41" t="str">
        <f>IF(COUNTA(B264)&gt;0,256,"")</f>
        <v/>
      </c>
      <c r="B264" s="18"/>
      <c r="C264" s="18"/>
      <c r="D264" s="18"/>
      <c r="E264" s="18"/>
      <c r="F264" s="18"/>
      <c r="G264" s="24" t="str">
        <f t="shared" si="0"/>
        <v/>
      </c>
      <c r="H264" s="18"/>
      <c r="I264" s="39"/>
      <c r="J264" s="18"/>
      <c r="K264" s="18"/>
      <c r="L264" s="18"/>
      <c r="M264" s="18"/>
      <c r="N264" s="43" t="str">
        <f>IF(COUNTA(B264)&gt;0,C5,"")</f>
        <v/>
      </c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7"/>
      <c r="AC264" s="18"/>
      <c r="AD264" s="18"/>
      <c r="AE264" s="18"/>
      <c r="AF264" s="18"/>
      <c r="AG264" s="39"/>
      <c r="AH264" s="18"/>
      <c r="AI264" s="18"/>
      <c r="AJ264" s="18"/>
      <c r="AK264" s="18"/>
      <c r="AL264" s="18"/>
      <c r="AM264" s="17"/>
      <c r="AO264" t="str">
        <f t="shared" si="4"/>
        <v/>
      </c>
    </row>
    <row r="265" spans="1:41" ht="15" x14ac:dyDescent="0.2">
      <c r="A265" s="41" t="str">
        <f>IF(COUNTA(B265)&gt;0,257,"")</f>
        <v/>
      </c>
      <c r="B265" s="18"/>
      <c r="C265" s="18"/>
      <c r="D265" s="18"/>
      <c r="E265" s="18"/>
      <c r="F265" s="18"/>
      <c r="G265" s="24" t="str">
        <f t="shared" si="0"/>
        <v/>
      </c>
      <c r="H265" s="18"/>
      <c r="I265" s="39"/>
      <c r="J265" s="18"/>
      <c r="K265" s="18"/>
      <c r="L265" s="18"/>
      <c r="M265" s="18"/>
      <c r="N265" s="43" t="str">
        <f>IF(COUNTA(B265)&gt;0,C5,"")</f>
        <v/>
      </c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7"/>
      <c r="AC265" s="18"/>
      <c r="AD265" s="18"/>
      <c r="AE265" s="18"/>
      <c r="AF265" s="18"/>
      <c r="AG265" s="39"/>
      <c r="AH265" s="18"/>
      <c r="AI265" s="18"/>
      <c r="AJ265" s="18"/>
      <c r="AK265" s="18"/>
      <c r="AL265" s="18"/>
      <c r="AM265" s="17"/>
      <c r="AO265" t="str">
        <f t="shared" ref="AO265:AO328" si="5">IF(COUNTA(L265:M265)&lt;&gt;0,"Có",IF(COUNTA(B265)&gt;0,"Không",""))</f>
        <v/>
      </c>
    </row>
    <row r="266" spans="1:41" ht="15" x14ac:dyDescent="0.2">
      <c r="A266" s="41" t="str">
        <f>IF(COUNTA(B266)&gt;0,258,"")</f>
        <v/>
      </c>
      <c r="B266" s="18"/>
      <c r="C266" s="18"/>
      <c r="D266" s="18"/>
      <c r="E266" s="18"/>
      <c r="F266" s="18"/>
      <c r="G266" s="24" t="str">
        <f t="shared" si="0"/>
        <v/>
      </c>
      <c r="H266" s="18"/>
      <c r="I266" s="39"/>
      <c r="J266" s="18"/>
      <c r="K266" s="18"/>
      <c r="L266" s="18"/>
      <c r="M266" s="18"/>
      <c r="N266" s="43" t="str">
        <f>IF(COUNTA(B266)&gt;0,C5,"")</f>
        <v/>
      </c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7"/>
      <c r="AC266" s="18"/>
      <c r="AD266" s="18"/>
      <c r="AE266" s="18"/>
      <c r="AF266" s="18"/>
      <c r="AG266" s="39"/>
      <c r="AH266" s="18"/>
      <c r="AI266" s="18"/>
      <c r="AJ266" s="18"/>
      <c r="AK266" s="18"/>
      <c r="AL266" s="18"/>
      <c r="AM266" s="17"/>
      <c r="AO266" t="str">
        <f t="shared" si="5"/>
        <v/>
      </c>
    </row>
    <row r="267" spans="1:41" ht="15" x14ac:dyDescent="0.2">
      <c r="A267" s="41" t="str">
        <f>IF(COUNTA(B267)&gt;0,259,"")</f>
        <v/>
      </c>
      <c r="B267" s="18"/>
      <c r="C267" s="18"/>
      <c r="D267" s="18"/>
      <c r="E267" s="18"/>
      <c r="F267" s="18"/>
      <c r="G267" s="24" t="str">
        <f t="shared" si="0"/>
        <v/>
      </c>
      <c r="H267" s="18"/>
      <c r="I267" s="39"/>
      <c r="J267" s="18"/>
      <c r="K267" s="18"/>
      <c r="L267" s="18"/>
      <c r="M267" s="18"/>
      <c r="N267" s="43" t="str">
        <f>IF(COUNTA(B267)&gt;0,C5,"")</f>
        <v/>
      </c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7"/>
      <c r="AC267" s="18"/>
      <c r="AD267" s="18"/>
      <c r="AE267" s="18"/>
      <c r="AF267" s="18"/>
      <c r="AG267" s="39"/>
      <c r="AH267" s="18"/>
      <c r="AI267" s="18"/>
      <c r="AJ267" s="18"/>
      <c r="AK267" s="18"/>
      <c r="AL267" s="18"/>
      <c r="AM267" s="17"/>
      <c r="AO267" t="str">
        <f t="shared" si="5"/>
        <v/>
      </c>
    </row>
    <row r="268" spans="1:41" ht="15" x14ac:dyDescent="0.2">
      <c r="A268" s="41" t="str">
        <f>IF(COUNTA(B268)&gt;0,260,"")</f>
        <v/>
      </c>
      <c r="B268" s="18"/>
      <c r="C268" s="18"/>
      <c r="D268" s="18"/>
      <c r="E268" s="18"/>
      <c r="F268" s="18"/>
      <c r="G268" s="24" t="str">
        <f t="shared" si="0"/>
        <v/>
      </c>
      <c r="H268" s="18"/>
      <c r="I268" s="39"/>
      <c r="J268" s="18"/>
      <c r="K268" s="18"/>
      <c r="L268" s="18"/>
      <c r="M268" s="18"/>
      <c r="N268" s="43" t="str">
        <f>IF(COUNTA(B268)&gt;0,C5,"")</f>
        <v/>
      </c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7"/>
      <c r="AC268" s="18"/>
      <c r="AD268" s="18"/>
      <c r="AE268" s="18"/>
      <c r="AF268" s="18"/>
      <c r="AG268" s="39"/>
      <c r="AH268" s="18"/>
      <c r="AI268" s="18"/>
      <c r="AJ268" s="18"/>
      <c r="AK268" s="18"/>
      <c r="AL268" s="18"/>
      <c r="AM268" s="17"/>
      <c r="AO268" t="str">
        <f t="shared" si="5"/>
        <v/>
      </c>
    </row>
    <row r="269" spans="1:41" ht="15" x14ac:dyDescent="0.2">
      <c r="A269" s="41" t="str">
        <f>IF(COUNTA(B269)&gt;0,261,"")</f>
        <v/>
      </c>
      <c r="B269" s="18"/>
      <c r="C269" s="18"/>
      <c r="D269" s="18"/>
      <c r="E269" s="18"/>
      <c r="F269" s="18"/>
      <c r="G269" s="24" t="str">
        <f t="shared" si="0"/>
        <v/>
      </c>
      <c r="H269" s="18"/>
      <c r="I269" s="39"/>
      <c r="J269" s="18"/>
      <c r="K269" s="18"/>
      <c r="L269" s="18"/>
      <c r="M269" s="18"/>
      <c r="N269" s="43" t="str">
        <f>IF(COUNTA(B269)&gt;0,C5,"")</f>
        <v/>
      </c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7"/>
      <c r="AC269" s="18"/>
      <c r="AD269" s="18"/>
      <c r="AE269" s="18"/>
      <c r="AF269" s="18"/>
      <c r="AG269" s="39"/>
      <c r="AH269" s="18"/>
      <c r="AI269" s="18"/>
      <c r="AJ269" s="18"/>
      <c r="AK269" s="18"/>
      <c r="AL269" s="18"/>
      <c r="AM269" s="17"/>
      <c r="AO269" t="str">
        <f t="shared" si="5"/>
        <v/>
      </c>
    </row>
    <row r="270" spans="1:41" ht="15" x14ac:dyDescent="0.2">
      <c r="A270" s="41" t="str">
        <f>IF(COUNTA(B270)&gt;0,262,"")</f>
        <v/>
      </c>
      <c r="B270" s="18"/>
      <c r="C270" s="18"/>
      <c r="D270" s="18"/>
      <c r="E270" s="18"/>
      <c r="F270" s="18"/>
      <c r="G270" s="24" t="str">
        <f t="shared" si="0"/>
        <v/>
      </c>
      <c r="H270" s="18"/>
      <c r="I270" s="39"/>
      <c r="J270" s="18"/>
      <c r="K270" s="18"/>
      <c r="L270" s="18"/>
      <c r="M270" s="18"/>
      <c r="N270" s="43" t="str">
        <f>IF(COUNTA(B270)&gt;0,C5,"")</f>
        <v/>
      </c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7"/>
      <c r="AC270" s="18"/>
      <c r="AD270" s="18"/>
      <c r="AE270" s="18"/>
      <c r="AF270" s="18"/>
      <c r="AG270" s="39"/>
      <c r="AH270" s="18"/>
      <c r="AI270" s="18"/>
      <c r="AJ270" s="18"/>
      <c r="AK270" s="18"/>
      <c r="AL270" s="18"/>
      <c r="AM270" s="17"/>
      <c r="AO270" t="str">
        <f t="shared" si="5"/>
        <v/>
      </c>
    </row>
    <row r="271" spans="1:41" ht="15" x14ac:dyDescent="0.2">
      <c r="A271" s="41" t="str">
        <f>IF(COUNTA(B271)&gt;0,263,"")</f>
        <v/>
      </c>
      <c r="B271" s="18"/>
      <c r="C271" s="18"/>
      <c r="D271" s="18"/>
      <c r="E271" s="18"/>
      <c r="F271" s="18"/>
      <c r="G271" s="24" t="str">
        <f t="shared" si="0"/>
        <v/>
      </c>
      <c r="H271" s="18"/>
      <c r="I271" s="39"/>
      <c r="J271" s="18"/>
      <c r="K271" s="18"/>
      <c r="L271" s="18"/>
      <c r="M271" s="18"/>
      <c r="N271" s="43" t="str">
        <f>IF(COUNTA(B271)&gt;0,C5,"")</f>
        <v/>
      </c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7"/>
      <c r="AC271" s="18"/>
      <c r="AD271" s="18"/>
      <c r="AE271" s="18"/>
      <c r="AF271" s="18"/>
      <c r="AG271" s="39"/>
      <c r="AH271" s="18"/>
      <c r="AI271" s="18"/>
      <c r="AJ271" s="18"/>
      <c r="AK271" s="18"/>
      <c r="AL271" s="18"/>
      <c r="AM271" s="17"/>
      <c r="AO271" t="str">
        <f t="shared" si="5"/>
        <v/>
      </c>
    </row>
    <row r="272" spans="1:41" ht="15" x14ac:dyDescent="0.2">
      <c r="A272" s="41" t="str">
        <f>IF(COUNTA(B272)&gt;0,264,"")</f>
        <v/>
      </c>
      <c r="B272" s="18"/>
      <c r="C272" s="18"/>
      <c r="D272" s="18"/>
      <c r="E272" s="18"/>
      <c r="F272" s="18"/>
      <c r="G272" s="24" t="str">
        <f t="shared" si="0"/>
        <v/>
      </c>
      <c r="H272" s="18"/>
      <c r="I272" s="39"/>
      <c r="J272" s="18"/>
      <c r="K272" s="18"/>
      <c r="L272" s="18"/>
      <c r="M272" s="18"/>
      <c r="N272" s="43" t="str">
        <f>IF(COUNTA(B272)&gt;0,C5,"")</f>
        <v/>
      </c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7"/>
      <c r="AC272" s="18"/>
      <c r="AD272" s="18"/>
      <c r="AE272" s="18"/>
      <c r="AF272" s="18"/>
      <c r="AG272" s="39"/>
      <c r="AH272" s="18"/>
      <c r="AI272" s="18"/>
      <c r="AJ272" s="18"/>
      <c r="AK272" s="18"/>
      <c r="AL272" s="18"/>
      <c r="AM272" s="17"/>
      <c r="AO272" t="str">
        <f t="shared" si="5"/>
        <v/>
      </c>
    </row>
    <row r="273" spans="1:41" ht="15" x14ac:dyDescent="0.2">
      <c r="A273" s="41" t="str">
        <f>IF(COUNTA(B273)&gt;0,265,"")</f>
        <v/>
      </c>
      <c r="B273" s="18"/>
      <c r="C273" s="18"/>
      <c r="D273" s="18"/>
      <c r="E273" s="18"/>
      <c r="F273" s="18"/>
      <c r="G273" s="24" t="str">
        <f t="shared" si="0"/>
        <v/>
      </c>
      <c r="H273" s="18"/>
      <c r="I273" s="39"/>
      <c r="J273" s="18"/>
      <c r="K273" s="18"/>
      <c r="L273" s="18"/>
      <c r="M273" s="18"/>
      <c r="N273" s="43" t="str">
        <f>IF(COUNTA(B273)&gt;0,C5,"")</f>
        <v/>
      </c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7"/>
      <c r="AC273" s="18"/>
      <c r="AD273" s="18"/>
      <c r="AE273" s="18"/>
      <c r="AF273" s="18"/>
      <c r="AG273" s="39"/>
      <c r="AH273" s="18"/>
      <c r="AI273" s="18"/>
      <c r="AJ273" s="18"/>
      <c r="AK273" s="18"/>
      <c r="AL273" s="18"/>
      <c r="AM273" s="17"/>
      <c r="AO273" t="str">
        <f t="shared" si="5"/>
        <v/>
      </c>
    </row>
    <row r="274" spans="1:41" ht="15" x14ac:dyDescent="0.2">
      <c r="A274" s="41" t="str">
        <f>IF(COUNTA(B274)&gt;0,266,"")</f>
        <v/>
      </c>
      <c r="B274" s="18"/>
      <c r="C274" s="18"/>
      <c r="D274" s="18"/>
      <c r="E274" s="18"/>
      <c r="F274" s="18"/>
      <c r="G274" s="24" t="str">
        <f t="shared" si="0"/>
        <v/>
      </c>
      <c r="H274" s="18"/>
      <c r="I274" s="39"/>
      <c r="J274" s="18"/>
      <c r="K274" s="18"/>
      <c r="L274" s="18"/>
      <c r="M274" s="18"/>
      <c r="N274" s="43" t="str">
        <f>IF(COUNTA(B274)&gt;0,C5,"")</f>
        <v/>
      </c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7"/>
      <c r="AC274" s="18"/>
      <c r="AD274" s="18"/>
      <c r="AE274" s="18"/>
      <c r="AF274" s="18"/>
      <c r="AG274" s="39"/>
      <c r="AH274" s="18"/>
      <c r="AI274" s="18"/>
      <c r="AJ274" s="18"/>
      <c r="AK274" s="18"/>
      <c r="AL274" s="18"/>
      <c r="AM274" s="17"/>
      <c r="AO274" t="str">
        <f t="shared" si="5"/>
        <v/>
      </c>
    </row>
    <row r="275" spans="1:41" ht="15" x14ac:dyDescent="0.2">
      <c r="A275" s="41" t="str">
        <f>IF(COUNTA(B275)&gt;0,267,"")</f>
        <v/>
      </c>
      <c r="B275" s="18"/>
      <c r="C275" s="18"/>
      <c r="D275" s="18"/>
      <c r="E275" s="18"/>
      <c r="F275" s="18"/>
      <c r="G275" s="24" t="str">
        <f t="shared" si="0"/>
        <v/>
      </c>
      <c r="H275" s="18"/>
      <c r="I275" s="39"/>
      <c r="J275" s="18"/>
      <c r="K275" s="18"/>
      <c r="L275" s="18"/>
      <c r="M275" s="18"/>
      <c r="N275" s="43" t="str">
        <f>IF(COUNTA(B275)&gt;0,C5,"")</f>
        <v/>
      </c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7"/>
      <c r="AC275" s="18"/>
      <c r="AD275" s="18"/>
      <c r="AE275" s="18"/>
      <c r="AF275" s="18"/>
      <c r="AG275" s="39"/>
      <c r="AH275" s="18"/>
      <c r="AI275" s="18"/>
      <c r="AJ275" s="18"/>
      <c r="AK275" s="18"/>
      <c r="AL275" s="18"/>
      <c r="AM275" s="17"/>
      <c r="AO275" t="str">
        <f t="shared" si="5"/>
        <v/>
      </c>
    </row>
    <row r="276" spans="1:41" ht="15" x14ac:dyDescent="0.2">
      <c r="A276" s="41" t="str">
        <f>IF(COUNTA(B276)&gt;0,268,"")</f>
        <v/>
      </c>
      <c r="B276" s="18"/>
      <c r="C276" s="18"/>
      <c r="D276" s="18"/>
      <c r="E276" s="18"/>
      <c r="F276" s="18"/>
      <c r="G276" s="24" t="str">
        <f t="shared" si="0"/>
        <v/>
      </c>
      <c r="H276" s="18"/>
      <c r="I276" s="39"/>
      <c r="J276" s="18"/>
      <c r="K276" s="18"/>
      <c r="L276" s="18"/>
      <c r="M276" s="18"/>
      <c r="N276" s="43" t="str">
        <f>IF(COUNTA(B276)&gt;0,C5,"")</f>
        <v/>
      </c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7"/>
      <c r="AC276" s="18"/>
      <c r="AD276" s="18"/>
      <c r="AE276" s="18"/>
      <c r="AF276" s="18"/>
      <c r="AG276" s="39"/>
      <c r="AH276" s="18"/>
      <c r="AI276" s="18"/>
      <c r="AJ276" s="18"/>
      <c r="AK276" s="18"/>
      <c r="AL276" s="18"/>
      <c r="AM276" s="17"/>
      <c r="AO276" t="str">
        <f t="shared" si="5"/>
        <v/>
      </c>
    </row>
    <row r="277" spans="1:41" ht="15" x14ac:dyDescent="0.2">
      <c r="A277" s="41" t="str">
        <f>IF(COUNTA(B277)&gt;0,269,"")</f>
        <v/>
      </c>
      <c r="B277" s="18"/>
      <c r="C277" s="18"/>
      <c r="D277" s="18"/>
      <c r="E277" s="18"/>
      <c r="F277" s="18"/>
      <c r="G277" s="24" t="str">
        <f t="shared" si="0"/>
        <v/>
      </c>
      <c r="H277" s="18"/>
      <c r="I277" s="39"/>
      <c r="J277" s="18"/>
      <c r="K277" s="18"/>
      <c r="L277" s="18"/>
      <c r="M277" s="18"/>
      <c r="N277" s="43" t="str">
        <f>IF(COUNTA(B277)&gt;0,C5,"")</f>
        <v/>
      </c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7"/>
      <c r="AC277" s="18"/>
      <c r="AD277" s="18"/>
      <c r="AE277" s="18"/>
      <c r="AF277" s="18"/>
      <c r="AG277" s="39"/>
      <c r="AH277" s="18"/>
      <c r="AI277" s="18"/>
      <c r="AJ277" s="18"/>
      <c r="AK277" s="18"/>
      <c r="AL277" s="18"/>
      <c r="AM277" s="17"/>
      <c r="AO277" t="str">
        <f t="shared" si="5"/>
        <v/>
      </c>
    </row>
    <row r="278" spans="1:41" ht="15" x14ac:dyDescent="0.2">
      <c r="A278" s="41" t="str">
        <f>IF(COUNTA(B278)&gt;0,270,"")</f>
        <v/>
      </c>
      <c r="B278" s="18"/>
      <c r="C278" s="18"/>
      <c r="D278" s="18"/>
      <c r="E278" s="18"/>
      <c r="F278" s="18"/>
      <c r="G278" s="24" t="str">
        <f t="shared" si="0"/>
        <v/>
      </c>
      <c r="H278" s="18"/>
      <c r="I278" s="39"/>
      <c r="J278" s="18"/>
      <c r="K278" s="18"/>
      <c r="L278" s="18"/>
      <c r="M278" s="18"/>
      <c r="N278" s="43" t="str">
        <f>IF(COUNTA(B278)&gt;0,C5,"")</f>
        <v/>
      </c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7"/>
      <c r="AC278" s="18"/>
      <c r="AD278" s="18"/>
      <c r="AE278" s="18"/>
      <c r="AF278" s="18"/>
      <c r="AG278" s="39"/>
      <c r="AH278" s="18"/>
      <c r="AI278" s="18"/>
      <c r="AJ278" s="18"/>
      <c r="AK278" s="18"/>
      <c r="AL278" s="18"/>
      <c r="AM278" s="17"/>
      <c r="AO278" t="str">
        <f t="shared" si="5"/>
        <v/>
      </c>
    </row>
    <row r="279" spans="1:41" ht="15" x14ac:dyDescent="0.2">
      <c r="A279" s="41" t="str">
        <f>IF(COUNTA(B279)&gt;0,271,"")</f>
        <v/>
      </c>
      <c r="B279" s="18"/>
      <c r="C279" s="18"/>
      <c r="D279" s="18"/>
      <c r="E279" s="18"/>
      <c r="F279" s="18"/>
      <c r="G279" s="24" t="str">
        <f t="shared" si="0"/>
        <v/>
      </c>
      <c r="H279" s="18"/>
      <c r="I279" s="39"/>
      <c r="J279" s="18"/>
      <c r="K279" s="18"/>
      <c r="L279" s="18"/>
      <c r="M279" s="18"/>
      <c r="N279" s="43" t="str">
        <f>IF(COUNTA(B279)&gt;0,C5,"")</f>
        <v/>
      </c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7"/>
      <c r="AC279" s="18"/>
      <c r="AD279" s="18"/>
      <c r="AE279" s="18"/>
      <c r="AF279" s="18"/>
      <c r="AG279" s="39"/>
      <c r="AH279" s="18"/>
      <c r="AI279" s="18"/>
      <c r="AJ279" s="18"/>
      <c r="AK279" s="18"/>
      <c r="AL279" s="18"/>
      <c r="AM279" s="17"/>
      <c r="AO279" t="str">
        <f t="shared" si="5"/>
        <v/>
      </c>
    </row>
    <row r="280" spans="1:41" ht="15" x14ac:dyDescent="0.2">
      <c r="A280" s="41" t="str">
        <f>IF(COUNTA(B280)&gt;0,272,"")</f>
        <v/>
      </c>
      <c r="B280" s="18"/>
      <c r="C280" s="18"/>
      <c r="D280" s="18"/>
      <c r="E280" s="18"/>
      <c r="F280" s="18"/>
      <c r="G280" s="24" t="str">
        <f t="shared" si="0"/>
        <v/>
      </c>
      <c r="H280" s="18"/>
      <c r="I280" s="39"/>
      <c r="J280" s="18"/>
      <c r="K280" s="18"/>
      <c r="L280" s="18"/>
      <c r="M280" s="18"/>
      <c r="N280" s="43" t="str">
        <f>IF(COUNTA(B280)&gt;0,C5,"")</f>
        <v/>
      </c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7"/>
      <c r="AC280" s="18"/>
      <c r="AD280" s="18"/>
      <c r="AE280" s="18"/>
      <c r="AF280" s="18"/>
      <c r="AG280" s="39"/>
      <c r="AH280" s="18"/>
      <c r="AI280" s="18"/>
      <c r="AJ280" s="18"/>
      <c r="AK280" s="18"/>
      <c r="AL280" s="18"/>
      <c r="AM280" s="17"/>
      <c r="AO280" t="str">
        <f t="shared" si="5"/>
        <v/>
      </c>
    </row>
    <row r="281" spans="1:41" ht="15" x14ac:dyDescent="0.2">
      <c r="A281" s="41" t="str">
        <f>IF(COUNTA(B281)&gt;0,273,"")</f>
        <v/>
      </c>
      <c r="B281" s="18"/>
      <c r="C281" s="18"/>
      <c r="D281" s="18"/>
      <c r="E281" s="18"/>
      <c r="F281" s="18"/>
      <c r="G281" s="24" t="str">
        <f t="shared" si="0"/>
        <v/>
      </c>
      <c r="H281" s="18"/>
      <c r="I281" s="39"/>
      <c r="J281" s="18"/>
      <c r="K281" s="18"/>
      <c r="L281" s="18"/>
      <c r="M281" s="18"/>
      <c r="N281" s="43" t="str">
        <f>IF(COUNTA(B281)&gt;0,C5,"")</f>
        <v/>
      </c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7"/>
      <c r="AC281" s="18"/>
      <c r="AD281" s="18"/>
      <c r="AE281" s="18"/>
      <c r="AF281" s="18"/>
      <c r="AG281" s="39"/>
      <c r="AH281" s="18"/>
      <c r="AI281" s="18"/>
      <c r="AJ281" s="18"/>
      <c r="AK281" s="18"/>
      <c r="AL281" s="18"/>
      <c r="AM281" s="17"/>
      <c r="AO281" t="str">
        <f t="shared" si="5"/>
        <v/>
      </c>
    </row>
    <row r="282" spans="1:41" ht="15" x14ac:dyDescent="0.2">
      <c r="A282" s="41" t="str">
        <f>IF(COUNTA(B282)&gt;0,274,"")</f>
        <v/>
      </c>
      <c r="B282" s="18"/>
      <c r="C282" s="18"/>
      <c r="D282" s="18"/>
      <c r="E282" s="18"/>
      <c r="F282" s="18"/>
      <c r="G282" s="24" t="str">
        <f t="shared" si="0"/>
        <v/>
      </c>
      <c r="H282" s="18"/>
      <c r="I282" s="39"/>
      <c r="J282" s="18"/>
      <c r="K282" s="18"/>
      <c r="L282" s="18"/>
      <c r="M282" s="18"/>
      <c r="N282" s="43" t="str">
        <f>IF(COUNTA(B282)&gt;0,C5,"")</f>
        <v/>
      </c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7"/>
      <c r="AC282" s="18"/>
      <c r="AD282" s="18"/>
      <c r="AE282" s="18"/>
      <c r="AF282" s="18"/>
      <c r="AG282" s="39"/>
      <c r="AH282" s="18"/>
      <c r="AI282" s="18"/>
      <c r="AJ282" s="18"/>
      <c r="AK282" s="18"/>
      <c r="AL282" s="18"/>
      <c r="AM282" s="17"/>
      <c r="AO282" t="str">
        <f t="shared" si="5"/>
        <v/>
      </c>
    </row>
    <row r="283" spans="1:41" ht="15" x14ac:dyDescent="0.2">
      <c r="A283" s="41" t="str">
        <f>IF(COUNTA(B283)&gt;0,275,"")</f>
        <v/>
      </c>
      <c r="B283" s="18"/>
      <c r="C283" s="18"/>
      <c r="D283" s="18"/>
      <c r="E283" s="18"/>
      <c r="F283" s="18"/>
      <c r="G283" s="24" t="str">
        <f t="shared" si="0"/>
        <v/>
      </c>
      <c r="H283" s="18"/>
      <c r="I283" s="39"/>
      <c r="J283" s="18"/>
      <c r="K283" s="18"/>
      <c r="L283" s="18"/>
      <c r="M283" s="18"/>
      <c r="N283" s="43" t="str">
        <f>IF(COUNTA(B283)&gt;0,C5,"")</f>
        <v/>
      </c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7"/>
      <c r="AC283" s="18"/>
      <c r="AD283" s="18"/>
      <c r="AE283" s="18"/>
      <c r="AF283" s="18"/>
      <c r="AG283" s="39"/>
      <c r="AH283" s="18"/>
      <c r="AI283" s="18"/>
      <c r="AJ283" s="18"/>
      <c r="AK283" s="18"/>
      <c r="AL283" s="18"/>
      <c r="AM283" s="17"/>
      <c r="AO283" t="str">
        <f t="shared" si="5"/>
        <v/>
      </c>
    </row>
    <row r="284" spans="1:41" ht="15" x14ac:dyDescent="0.2">
      <c r="A284" s="41" t="str">
        <f>IF(COUNTA(B284)&gt;0,276,"")</f>
        <v/>
      </c>
      <c r="B284" s="18"/>
      <c r="C284" s="18"/>
      <c r="D284" s="18"/>
      <c r="E284" s="18"/>
      <c r="F284" s="18"/>
      <c r="G284" s="24" t="str">
        <f t="shared" si="0"/>
        <v/>
      </c>
      <c r="H284" s="18"/>
      <c r="I284" s="39"/>
      <c r="J284" s="18"/>
      <c r="K284" s="18"/>
      <c r="L284" s="18"/>
      <c r="M284" s="18"/>
      <c r="N284" s="43" t="str">
        <f>IF(COUNTA(B284)&gt;0,C5,"")</f>
        <v/>
      </c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7"/>
      <c r="AC284" s="18"/>
      <c r="AD284" s="18"/>
      <c r="AE284" s="18"/>
      <c r="AF284" s="18"/>
      <c r="AG284" s="39"/>
      <c r="AH284" s="18"/>
      <c r="AI284" s="18"/>
      <c r="AJ284" s="18"/>
      <c r="AK284" s="18"/>
      <c r="AL284" s="18"/>
      <c r="AM284" s="17"/>
      <c r="AO284" t="str">
        <f t="shared" si="5"/>
        <v/>
      </c>
    </row>
    <row r="285" spans="1:41" ht="15" x14ac:dyDescent="0.2">
      <c r="A285" s="41" t="str">
        <f>IF(COUNTA(B285)&gt;0,277,"")</f>
        <v/>
      </c>
      <c r="B285" s="18"/>
      <c r="C285" s="18"/>
      <c r="D285" s="18"/>
      <c r="E285" s="18"/>
      <c r="F285" s="18"/>
      <c r="G285" s="24" t="str">
        <f t="shared" si="0"/>
        <v/>
      </c>
      <c r="H285" s="18"/>
      <c r="I285" s="39"/>
      <c r="J285" s="18"/>
      <c r="K285" s="18"/>
      <c r="L285" s="18"/>
      <c r="M285" s="18"/>
      <c r="N285" s="43" t="str">
        <f>IF(COUNTA(B285)&gt;0,C5,"")</f>
        <v/>
      </c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7"/>
      <c r="AC285" s="18"/>
      <c r="AD285" s="18"/>
      <c r="AE285" s="18"/>
      <c r="AF285" s="18"/>
      <c r="AG285" s="39"/>
      <c r="AH285" s="18"/>
      <c r="AI285" s="18"/>
      <c r="AJ285" s="18"/>
      <c r="AK285" s="18"/>
      <c r="AL285" s="18"/>
      <c r="AM285" s="17"/>
      <c r="AO285" t="str">
        <f t="shared" si="5"/>
        <v/>
      </c>
    </row>
    <row r="286" spans="1:41" ht="15" x14ac:dyDescent="0.2">
      <c r="A286" s="41" t="str">
        <f>IF(COUNTA(B286)&gt;0,278,"")</f>
        <v/>
      </c>
      <c r="B286" s="18"/>
      <c r="C286" s="18"/>
      <c r="D286" s="18"/>
      <c r="E286" s="18"/>
      <c r="F286" s="18"/>
      <c r="G286" s="24" t="str">
        <f t="shared" si="0"/>
        <v/>
      </c>
      <c r="H286" s="18"/>
      <c r="I286" s="39"/>
      <c r="J286" s="18"/>
      <c r="K286" s="18"/>
      <c r="L286" s="18"/>
      <c r="M286" s="18"/>
      <c r="N286" s="43" t="str">
        <f>IF(COUNTA(B286)&gt;0,C5,"")</f>
        <v/>
      </c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7"/>
      <c r="AC286" s="18"/>
      <c r="AD286" s="18"/>
      <c r="AE286" s="18"/>
      <c r="AF286" s="18"/>
      <c r="AG286" s="39"/>
      <c r="AH286" s="18"/>
      <c r="AI286" s="18"/>
      <c r="AJ286" s="18"/>
      <c r="AK286" s="18"/>
      <c r="AL286" s="18"/>
      <c r="AM286" s="17"/>
      <c r="AO286" t="str">
        <f t="shared" si="5"/>
        <v/>
      </c>
    </row>
    <row r="287" spans="1:41" ht="15" x14ac:dyDescent="0.2">
      <c r="A287" s="41" t="str">
        <f>IF(COUNTA(B287)&gt;0,279,"")</f>
        <v/>
      </c>
      <c r="B287" s="18"/>
      <c r="C287" s="18"/>
      <c r="D287" s="18"/>
      <c r="E287" s="18"/>
      <c r="F287" s="18"/>
      <c r="G287" s="24" t="str">
        <f t="shared" si="0"/>
        <v/>
      </c>
      <c r="H287" s="18"/>
      <c r="I287" s="39"/>
      <c r="J287" s="18"/>
      <c r="K287" s="18"/>
      <c r="L287" s="18"/>
      <c r="M287" s="18"/>
      <c r="N287" s="43" t="str">
        <f>IF(COUNTA(B287)&gt;0,C5,"")</f>
        <v/>
      </c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7"/>
      <c r="AC287" s="18"/>
      <c r="AD287" s="18"/>
      <c r="AE287" s="18"/>
      <c r="AF287" s="18"/>
      <c r="AG287" s="39"/>
      <c r="AH287" s="18"/>
      <c r="AI287" s="18"/>
      <c r="AJ287" s="18"/>
      <c r="AK287" s="18"/>
      <c r="AL287" s="18"/>
      <c r="AM287" s="17"/>
      <c r="AO287" t="str">
        <f t="shared" si="5"/>
        <v/>
      </c>
    </row>
    <row r="288" spans="1:41" ht="15" x14ac:dyDescent="0.2">
      <c r="A288" s="41" t="str">
        <f>IF(COUNTA(B288)&gt;0,280,"")</f>
        <v/>
      </c>
      <c r="B288" s="18"/>
      <c r="C288" s="18"/>
      <c r="D288" s="18"/>
      <c r="E288" s="18"/>
      <c r="F288" s="18"/>
      <c r="G288" s="24" t="str">
        <f t="shared" si="0"/>
        <v/>
      </c>
      <c r="H288" s="18"/>
      <c r="I288" s="39"/>
      <c r="J288" s="18"/>
      <c r="K288" s="18"/>
      <c r="L288" s="18"/>
      <c r="M288" s="18"/>
      <c r="N288" s="43" t="str">
        <f>IF(COUNTA(B288)&gt;0,C5,"")</f>
        <v/>
      </c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7"/>
      <c r="AC288" s="18"/>
      <c r="AD288" s="18"/>
      <c r="AE288" s="18"/>
      <c r="AF288" s="18"/>
      <c r="AG288" s="39"/>
      <c r="AH288" s="18"/>
      <c r="AI288" s="18"/>
      <c r="AJ288" s="18"/>
      <c r="AK288" s="18"/>
      <c r="AL288" s="18"/>
      <c r="AM288" s="17"/>
      <c r="AO288" t="str">
        <f t="shared" si="5"/>
        <v/>
      </c>
    </row>
    <row r="289" spans="1:41" ht="15" x14ac:dyDescent="0.2">
      <c r="A289" s="41" t="str">
        <f>IF(COUNTA(B289)&gt;0,281,"")</f>
        <v/>
      </c>
      <c r="B289" s="18"/>
      <c r="C289" s="18"/>
      <c r="D289" s="18"/>
      <c r="E289" s="18"/>
      <c r="F289" s="18"/>
      <c r="G289" s="24" t="str">
        <f t="shared" si="0"/>
        <v/>
      </c>
      <c r="H289" s="18"/>
      <c r="I289" s="39"/>
      <c r="J289" s="18"/>
      <c r="K289" s="18"/>
      <c r="L289" s="18"/>
      <c r="M289" s="18"/>
      <c r="N289" s="43" t="str">
        <f>IF(COUNTA(B289)&gt;0,C5,"")</f>
        <v/>
      </c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7"/>
      <c r="AC289" s="18"/>
      <c r="AD289" s="18"/>
      <c r="AE289" s="18"/>
      <c r="AF289" s="18"/>
      <c r="AG289" s="39"/>
      <c r="AH289" s="18"/>
      <c r="AI289" s="18"/>
      <c r="AJ289" s="18"/>
      <c r="AK289" s="18"/>
      <c r="AL289" s="18"/>
      <c r="AM289" s="17"/>
      <c r="AO289" t="str">
        <f t="shared" si="5"/>
        <v/>
      </c>
    </row>
    <row r="290" spans="1:41" ht="15" x14ac:dyDescent="0.2">
      <c r="A290" s="41" t="str">
        <f>IF(COUNTA(B290)&gt;0,282,"")</f>
        <v/>
      </c>
      <c r="B290" s="18"/>
      <c r="C290" s="18"/>
      <c r="D290" s="18"/>
      <c r="E290" s="18"/>
      <c r="F290" s="18"/>
      <c r="G290" s="24" t="str">
        <f t="shared" si="0"/>
        <v/>
      </c>
      <c r="H290" s="18"/>
      <c r="I290" s="39"/>
      <c r="J290" s="18"/>
      <c r="K290" s="18"/>
      <c r="L290" s="18"/>
      <c r="M290" s="18"/>
      <c r="N290" s="43" t="str">
        <f>IF(COUNTA(B290)&gt;0,C5,"")</f>
        <v/>
      </c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7"/>
      <c r="AC290" s="18"/>
      <c r="AD290" s="18"/>
      <c r="AE290" s="18"/>
      <c r="AF290" s="18"/>
      <c r="AG290" s="39"/>
      <c r="AH290" s="18"/>
      <c r="AI290" s="18"/>
      <c r="AJ290" s="18"/>
      <c r="AK290" s="18"/>
      <c r="AL290" s="18"/>
      <c r="AM290" s="17"/>
      <c r="AO290" t="str">
        <f t="shared" si="5"/>
        <v/>
      </c>
    </row>
    <row r="291" spans="1:41" ht="15" x14ac:dyDescent="0.2">
      <c r="A291" s="41" t="str">
        <f>IF(COUNTA(B291)&gt;0,283,"")</f>
        <v/>
      </c>
      <c r="B291" s="18"/>
      <c r="C291" s="18"/>
      <c r="D291" s="18"/>
      <c r="E291" s="18"/>
      <c r="F291" s="18"/>
      <c r="G291" s="24" t="str">
        <f t="shared" si="0"/>
        <v/>
      </c>
      <c r="H291" s="18"/>
      <c r="I291" s="39"/>
      <c r="J291" s="18"/>
      <c r="K291" s="18"/>
      <c r="L291" s="18"/>
      <c r="M291" s="18"/>
      <c r="N291" s="43" t="str">
        <f>IF(COUNTA(B291)&gt;0,C5,"")</f>
        <v/>
      </c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7"/>
      <c r="AC291" s="18"/>
      <c r="AD291" s="18"/>
      <c r="AE291" s="18"/>
      <c r="AF291" s="18"/>
      <c r="AG291" s="39"/>
      <c r="AH291" s="18"/>
      <c r="AI291" s="18"/>
      <c r="AJ291" s="18"/>
      <c r="AK291" s="18"/>
      <c r="AL291" s="18"/>
      <c r="AM291" s="17"/>
      <c r="AO291" t="str">
        <f t="shared" si="5"/>
        <v/>
      </c>
    </row>
    <row r="292" spans="1:41" ht="15" x14ac:dyDescent="0.2">
      <c r="A292" s="41" t="str">
        <f>IF(COUNTA(B292)&gt;0,284,"")</f>
        <v/>
      </c>
      <c r="B292" s="18"/>
      <c r="C292" s="18"/>
      <c r="D292" s="18"/>
      <c r="E292" s="18"/>
      <c r="F292" s="18"/>
      <c r="G292" s="24" t="str">
        <f t="shared" si="0"/>
        <v/>
      </c>
      <c r="H292" s="18"/>
      <c r="I292" s="39"/>
      <c r="J292" s="18"/>
      <c r="K292" s="18"/>
      <c r="L292" s="18"/>
      <c r="M292" s="18"/>
      <c r="N292" s="43" t="str">
        <f>IF(COUNTA(B292)&gt;0,C5,"")</f>
        <v/>
      </c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7"/>
      <c r="AC292" s="18"/>
      <c r="AD292" s="18"/>
      <c r="AE292" s="18"/>
      <c r="AF292" s="18"/>
      <c r="AG292" s="39"/>
      <c r="AH292" s="18"/>
      <c r="AI292" s="18"/>
      <c r="AJ292" s="18"/>
      <c r="AK292" s="18"/>
      <c r="AL292" s="18"/>
      <c r="AM292" s="17"/>
      <c r="AO292" t="str">
        <f t="shared" si="5"/>
        <v/>
      </c>
    </row>
    <row r="293" spans="1:41" ht="15" x14ac:dyDescent="0.2">
      <c r="A293" s="41" t="str">
        <f>IF(COUNTA(B293)&gt;0,285,"")</f>
        <v/>
      </c>
      <c r="B293" s="18"/>
      <c r="C293" s="18"/>
      <c r="D293" s="18"/>
      <c r="E293" s="18"/>
      <c r="F293" s="18"/>
      <c r="G293" s="24" t="str">
        <f t="shared" si="0"/>
        <v/>
      </c>
      <c r="H293" s="18"/>
      <c r="I293" s="39"/>
      <c r="J293" s="18"/>
      <c r="K293" s="18"/>
      <c r="L293" s="18"/>
      <c r="M293" s="18"/>
      <c r="N293" s="43" t="str">
        <f>IF(COUNTA(B293)&gt;0,C5,"")</f>
        <v/>
      </c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7"/>
      <c r="AC293" s="18"/>
      <c r="AD293" s="18"/>
      <c r="AE293" s="18"/>
      <c r="AF293" s="18"/>
      <c r="AG293" s="39"/>
      <c r="AH293" s="18"/>
      <c r="AI293" s="18"/>
      <c r="AJ293" s="18"/>
      <c r="AK293" s="18"/>
      <c r="AL293" s="18"/>
      <c r="AM293" s="17"/>
      <c r="AO293" t="str">
        <f t="shared" si="5"/>
        <v/>
      </c>
    </row>
    <row r="294" spans="1:41" ht="15" x14ac:dyDescent="0.2">
      <c r="A294" s="41" t="str">
        <f>IF(COUNTA(B294)&gt;0,286,"")</f>
        <v/>
      </c>
      <c r="B294" s="18"/>
      <c r="C294" s="18"/>
      <c r="D294" s="18"/>
      <c r="E294" s="18"/>
      <c r="F294" s="18"/>
      <c r="G294" s="24" t="str">
        <f t="shared" si="0"/>
        <v/>
      </c>
      <c r="H294" s="18"/>
      <c r="I294" s="39"/>
      <c r="J294" s="18"/>
      <c r="K294" s="18"/>
      <c r="L294" s="18"/>
      <c r="M294" s="18"/>
      <c r="N294" s="43" t="str">
        <f>IF(COUNTA(B294)&gt;0,C5,"")</f>
        <v/>
      </c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7"/>
      <c r="AC294" s="18"/>
      <c r="AD294" s="18"/>
      <c r="AE294" s="18"/>
      <c r="AF294" s="18"/>
      <c r="AG294" s="39"/>
      <c r="AH294" s="18"/>
      <c r="AI294" s="18"/>
      <c r="AJ294" s="18"/>
      <c r="AK294" s="18"/>
      <c r="AL294" s="18"/>
      <c r="AM294" s="17"/>
      <c r="AO294" t="str">
        <f t="shared" si="5"/>
        <v/>
      </c>
    </row>
    <row r="295" spans="1:41" ht="15" x14ac:dyDescent="0.2">
      <c r="A295" s="41" t="str">
        <f>IF(COUNTA(B295)&gt;0,287,"")</f>
        <v/>
      </c>
      <c r="B295" s="18"/>
      <c r="C295" s="18"/>
      <c r="D295" s="18"/>
      <c r="E295" s="18"/>
      <c r="F295" s="18"/>
      <c r="G295" s="24" t="str">
        <f t="shared" si="0"/>
        <v/>
      </c>
      <c r="H295" s="18"/>
      <c r="I295" s="39"/>
      <c r="J295" s="18"/>
      <c r="K295" s="18"/>
      <c r="L295" s="18"/>
      <c r="M295" s="18"/>
      <c r="N295" s="43" t="str">
        <f>IF(COUNTA(B295)&gt;0,C5,"")</f>
        <v/>
      </c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7"/>
      <c r="AC295" s="18"/>
      <c r="AD295" s="18"/>
      <c r="AE295" s="18"/>
      <c r="AF295" s="18"/>
      <c r="AG295" s="39"/>
      <c r="AH295" s="18"/>
      <c r="AI295" s="18"/>
      <c r="AJ295" s="18"/>
      <c r="AK295" s="18"/>
      <c r="AL295" s="18"/>
      <c r="AM295" s="17"/>
      <c r="AO295" t="str">
        <f t="shared" si="5"/>
        <v/>
      </c>
    </row>
    <row r="296" spans="1:41" ht="15" x14ac:dyDescent="0.2">
      <c r="A296" s="41" t="str">
        <f>IF(COUNTA(B296)&gt;0,288,"")</f>
        <v/>
      </c>
      <c r="B296" s="18"/>
      <c r="C296" s="18"/>
      <c r="D296" s="18"/>
      <c r="E296" s="18"/>
      <c r="F296" s="18"/>
      <c r="G296" s="24" t="str">
        <f t="shared" si="0"/>
        <v/>
      </c>
      <c r="H296" s="18"/>
      <c r="I296" s="39"/>
      <c r="J296" s="18"/>
      <c r="K296" s="18"/>
      <c r="L296" s="18"/>
      <c r="M296" s="18"/>
      <c r="N296" s="43" t="str">
        <f>IF(COUNTA(B296)&gt;0,C5,"")</f>
        <v/>
      </c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7"/>
      <c r="AC296" s="18"/>
      <c r="AD296" s="18"/>
      <c r="AE296" s="18"/>
      <c r="AF296" s="18"/>
      <c r="AG296" s="39"/>
      <c r="AH296" s="18"/>
      <c r="AI296" s="18"/>
      <c r="AJ296" s="18"/>
      <c r="AK296" s="18"/>
      <c r="AL296" s="18"/>
      <c r="AM296" s="17"/>
      <c r="AO296" t="str">
        <f t="shared" si="5"/>
        <v/>
      </c>
    </row>
    <row r="297" spans="1:41" ht="15" x14ac:dyDescent="0.2">
      <c r="A297" s="41" t="str">
        <f>IF(COUNTA(B297)&gt;0,289,"")</f>
        <v/>
      </c>
      <c r="B297" s="18"/>
      <c r="C297" s="18"/>
      <c r="D297" s="18"/>
      <c r="E297" s="18"/>
      <c r="F297" s="18"/>
      <c r="G297" s="24" t="str">
        <f t="shared" si="0"/>
        <v/>
      </c>
      <c r="H297" s="18"/>
      <c r="I297" s="39"/>
      <c r="J297" s="18"/>
      <c r="K297" s="18"/>
      <c r="L297" s="18"/>
      <c r="M297" s="18"/>
      <c r="N297" s="43" t="str">
        <f>IF(COUNTA(B297)&gt;0,C5,"")</f>
        <v/>
      </c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7"/>
      <c r="AC297" s="18"/>
      <c r="AD297" s="18"/>
      <c r="AE297" s="18"/>
      <c r="AF297" s="18"/>
      <c r="AG297" s="39"/>
      <c r="AH297" s="18"/>
      <c r="AI297" s="18"/>
      <c r="AJ297" s="18"/>
      <c r="AK297" s="18"/>
      <c r="AL297" s="18"/>
      <c r="AM297" s="17"/>
      <c r="AO297" t="str">
        <f t="shared" si="5"/>
        <v/>
      </c>
    </row>
    <row r="298" spans="1:41" ht="15" x14ac:dyDescent="0.2">
      <c r="A298" s="41" t="str">
        <f>IF(COUNTA(B298)&gt;0,290,"")</f>
        <v/>
      </c>
      <c r="B298" s="18"/>
      <c r="C298" s="18"/>
      <c r="D298" s="18"/>
      <c r="E298" s="18"/>
      <c r="F298" s="18"/>
      <c r="G298" s="24" t="str">
        <f t="shared" si="0"/>
        <v/>
      </c>
      <c r="H298" s="18"/>
      <c r="I298" s="39"/>
      <c r="J298" s="18"/>
      <c r="K298" s="18"/>
      <c r="L298" s="18"/>
      <c r="M298" s="18"/>
      <c r="N298" s="43" t="str">
        <f>IF(COUNTA(B298)&gt;0,C5,"")</f>
        <v/>
      </c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7"/>
      <c r="AC298" s="18"/>
      <c r="AD298" s="18"/>
      <c r="AE298" s="18"/>
      <c r="AF298" s="18"/>
      <c r="AG298" s="39"/>
      <c r="AH298" s="18"/>
      <c r="AI298" s="18"/>
      <c r="AJ298" s="18"/>
      <c r="AK298" s="18"/>
      <c r="AL298" s="18"/>
      <c r="AM298" s="17"/>
      <c r="AO298" t="str">
        <f t="shared" si="5"/>
        <v/>
      </c>
    </row>
    <row r="299" spans="1:41" ht="15" x14ac:dyDescent="0.2">
      <c r="A299" s="41" t="str">
        <f>IF(COUNTA(B299)&gt;0,291,"")</f>
        <v/>
      </c>
      <c r="B299" s="18"/>
      <c r="C299" s="18"/>
      <c r="D299" s="18"/>
      <c r="E299" s="18"/>
      <c r="F299" s="18"/>
      <c r="G299" s="24" t="str">
        <f t="shared" si="0"/>
        <v/>
      </c>
      <c r="H299" s="18"/>
      <c r="I299" s="39"/>
      <c r="J299" s="18"/>
      <c r="K299" s="18"/>
      <c r="L299" s="18"/>
      <c r="M299" s="18"/>
      <c r="N299" s="43" t="str">
        <f>IF(COUNTA(B299)&gt;0,C5,"")</f>
        <v/>
      </c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7"/>
      <c r="AC299" s="18"/>
      <c r="AD299" s="18"/>
      <c r="AE299" s="18"/>
      <c r="AF299" s="18"/>
      <c r="AG299" s="39"/>
      <c r="AH299" s="18"/>
      <c r="AI299" s="18"/>
      <c r="AJ299" s="18"/>
      <c r="AK299" s="18"/>
      <c r="AL299" s="18"/>
      <c r="AM299" s="17"/>
      <c r="AO299" t="str">
        <f t="shared" si="5"/>
        <v/>
      </c>
    </row>
    <row r="300" spans="1:41" ht="15" x14ac:dyDescent="0.2">
      <c r="A300" s="41" t="str">
        <f>IF(COUNTA(B300)&gt;0,292,"")</f>
        <v/>
      </c>
      <c r="B300" s="18"/>
      <c r="C300" s="18"/>
      <c r="D300" s="18"/>
      <c r="E300" s="18"/>
      <c r="F300" s="18"/>
      <c r="G300" s="24" t="str">
        <f t="shared" si="0"/>
        <v/>
      </c>
      <c r="H300" s="18"/>
      <c r="I300" s="39"/>
      <c r="J300" s="18"/>
      <c r="K300" s="18"/>
      <c r="L300" s="18"/>
      <c r="M300" s="18"/>
      <c r="N300" s="43" t="str">
        <f>IF(COUNTA(B300)&gt;0,C5,"")</f>
        <v/>
      </c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7"/>
      <c r="AC300" s="18"/>
      <c r="AD300" s="18"/>
      <c r="AE300" s="18"/>
      <c r="AF300" s="18"/>
      <c r="AG300" s="39"/>
      <c r="AH300" s="18"/>
      <c r="AI300" s="18"/>
      <c r="AJ300" s="18"/>
      <c r="AK300" s="18"/>
      <c r="AL300" s="18"/>
      <c r="AM300" s="17"/>
      <c r="AO300" t="str">
        <f t="shared" si="5"/>
        <v/>
      </c>
    </row>
    <row r="301" spans="1:41" ht="15" x14ac:dyDescent="0.2">
      <c r="A301" s="41" t="str">
        <f>IF(COUNTA(B301)&gt;0,293,"")</f>
        <v/>
      </c>
      <c r="B301" s="18"/>
      <c r="C301" s="18"/>
      <c r="D301" s="18"/>
      <c r="E301" s="18"/>
      <c r="F301" s="18"/>
      <c r="G301" s="24" t="str">
        <f t="shared" si="0"/>
        <v/>
      </c>
      <c r="H301" s="18"/>
      <c r="I301" s="39"/>
      <c r="J301" s="18"/>
      <c r="K301" s="18"/>
      <c r="L301" s="18"/>
      <c r="M301" s="18"/>
      <c r="N301" s="43" t="str">
        <f>IF(COUNTA(B301)&gt;0,C5,"")</f>
        <v/>
      </c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7"/>
      <c r="AC301" s="18"/>
      <c r="AD301" s="18"/>
      <c r="AE301" s="18"/>
      <c r="AF301" s="18"/>
      <c r="AG301" s="39"/>
      <c r="AH301" s="18"/>
      <c r="AI301" s="18"/>
      <c r="AJ301" s="18"/>
      <c r="AK301" s="18"/>
      <c r="AL301" s="18"/>
      <c r="AM301" s="17"/>
      <c r="AO301" t="str">
        <f t="shared" si="5"/>
        <v/>
      </c>
    </row>
    <row r="302" spans="1:41" ht="15" x14ac:dyDescent="0.2">
      <c r="A302" s="41" t="str">
        <f>IF(COUNTA(B302)&gt;0,294,"")</f>
        <v/>
      </c>
      <c r="B302" s="18"/>
      <c r="C302" s="18"/>
      <c r="D302" s="18"/>
      <c r="E302" s="18"/>
      <c r="F302" s="18"/>
      <c r="G302" s="24" t="str">
        <f t="shared" si="0"/>
        <v/>
      </c>
      <c r="H302" s="18"/>
      <c r="I302" s="39"/>
      <c r="J302" s="18"/>
      <c r="K302" s="18"/>
      <c r="L302" s="18"/>
      <c r="M302" s="18"/>
      <c r="N302" s="43" t="str">
        <f>IF(COUNTA(B302)&gt;0,C5,"")</f>
        <v/>
      </c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7"/>
      <c r="AC302" s="18"/>
      <c r="AD302" s="18"/>
      <c r="AE302" s="18"/>
      <c r="AF302" s="18"/>
      <c r="AG302" s="39"/>
      <c r="AH302" s="18"/>
      <c r="AI302" s="18"/>
      <c r="AJ302" s="18"/>
      <c r="AK302" s="18"/>
      <c r="AL302" s="18"/>
      <c r="AM302" s="17"/>
      <c r="AO302" t="str">
        <f t="shared" si="5"/>
        <v/>
      </c>
    </row>
    <row r="303" spans="1:41" ht="15" x14ac:dyDescent="0.2">
      <c r="A303" s="41" t="str">
        <f>IF(COUNTA(B303)&gt;0,295,"")</f>
        <v/>
      </c>
      <c r="B303" s="18"/>
      <c r="C303" s="18"/>
      <c r="D303" s="18"/>
      <c r="E303" s="18"/>
      <c r="F303" s="18"/>
      <c r="G303" s="24" t="str">
        <f t="shared" si="0"/>
        <v/>
      </c>
      <c r="H303" s="18"/>
      <c r="I303" s="39"/>
      <c r="J303" s="18"/>
      <c r="K303" s="18"/>
      <c r="L303" s="18"/>
      <c r="M303" s="18"/>
      <c r="N303" s="43" t="str">
        <f>IF(COUNTA(B303)&gt;0,C5,"")</f>
        <v/>
      </c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7"/>
      <c r="AC303" s="18"/>
      <c r="AD303" s="18"/>
      <c r="AE303" s="18"/>
      <c r="AF303" s="18"/>
      <c r="AG303" s="39"/>
      <c r="AH303" s="18"/>
      <c r="AI303" s="18"/>
      <c r="AJ303" s="18"/>
      <c r="AK303" s="18"/>
      <c r="AL303" s="18"/>
      <c r="AM303" s="17"/>
      <c r="AO303" t="str">
        <f t="shared" si="5"/>
        <v/>
      </c>
    </row>
    <row r="304" spans="1:41" ht="15" x14ac:dyDescent="0.2">
      <c r="A304" s="41" t="str">
        <f>IF(COUNTA(B304)&gt;0,296,"")</f>
        <v/>
      </c>
      <c r="B304" s="18"/>
      <c r="C304" s="18"/>
      <c r="D304" s="18"/>
      <c r="E304" s="18"/>
      <c r="F304" s="18"/>
      <c r="G304" s="24" t="str">
        <f t="shared" si="0"/>
        <v/>
      </c>
      <c r="H304" s="18"/>
      <c r="I304" s="39"/>
      <c r="J304" s="18"/>
      <c r="K304" s="18"/>
      <c r="L304" s="18"/>
      <c r="M304" s="18"/>
      <c r="N304" s="43" t="str">
        <f>IF(COUNTA(B304)&gt;0,C5,"")</f>
        <v/>
      </c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7"/>
      <c r="AC304" s="18"/>
      <c r="AD304" s="18"/>
      <c r="AE304" s="18"/>
      <c r="AF304" s="18"/>
      <c r="AG304" s="39"/>
      <c r="AH304" s="18"/>
      <c r="AI304" s="18"/>
      <c r="AJ304" s="18"/>
      <c r="AK304" s="18"/>
      <c r="AL304" s="18"/>
      <c r="AM304" s="17"/>
      <c r="AO304" t="str">
        <f t="shared" si="5"/>
        <v/>
      </c>
    </row>
    <row r="305" spans="1:41" ht="15" x14ac:dyDescent="0.2">
      <c r="A305" s="41" t="str">
        <f>IF(COUNTA(B305)&gt;0,297,"")</f>
        <v/>
      </c>
      <c r="B305" s="18"/>
      <c r="C305" s="18"/>
      <c r="D305" s="18"/>
      <c r="E305" s="18"/>
      <c r="F305" s="18"/>
      <c r="G305" s="24" t="str">
        <f t="shared" si="0"/>
        <v/>
      </c>
      <c r="H305" s="18"/>
      <c r="I305" s="39"/>
      <c r="J305" s="18"/>
      <c r="K305" s="18"/>
      <c r="L305" s="18"/>
      <c r="M305" s="18"/>
      <c r="N305" s="43" t="str">
        <f>IF(COUNTA(B305)&gt;0,C5,"")</f>
        <v/>
      </c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7"/>
      <c r="AC305" s="18"/>
      <c r="AD305" s="18"/>
      <c r="AE305" s="18"/>
      <c r="AF305" s="18"/>
      <c r="AG305" s="39"/>
      <c r="AH305" s="18"/>
      <c r="AI305" s="18"/>
      <c r="AJ305" s="18"/>
      <c r="AK305" s="18"/>
      <c r="AL305" s="18"/>
      <c r="AM305" s="17"/>
      <c r="AO305" t="str">
        <f t="shared" si="5"/>
        <v/>
      </c>
    </row>
    <row r="306" spans="1:41" ht="15" x14ac:dyDescent="0.2">
      <c r="A306" s="41" t="str">
        <f>IF(COUNTA(B306)&gt;0,298,"")</f>
        <v/>
      </c>
      <c r="B306" s="18"/>
      <c r="C306" s="18"/>
      <c r="D306" s="18"/>
      <c r="E306" s="18"/>
      <c r="F306" s="18"/>
      <c r="G306" s="24" t="str">
        <f t="shared" si="0"/>
        <v/>
      </c>
      <c r="H306" s="18"/>
      <c r="I306" s="39"/>
      <c r="J306" s="18"/>
      <c r="K306" s="18"/>
      <c r="L306" s="18"/>
      <c r="M306" s="18"/>
      <c r="N306" s="43" t="str">
        <f>IF(COUNTA(B306)&gt;0,C5,"")</f>
        <v/>
      </c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7"/>
      <c r="AC306" s="18"/>
      <c r="AD306" s="18"/>
      <c r="AE306" s="18"/>
      <c r="AF306" s="18"/>
      <c r="AG306" s="39"/>
      <c r="AH306" s="18"/>
      <c r="AI306" s="18"/>
      <c r="AJ306" s="18"/>
      <c r="AK306" s="18"/>
      <c r="AL306" s="18"/>
      <c r="AM306" s="17"/>
      <c r="AO306" t="str">
        <f t="shared" si="5"/>
        <v/>
      </c>
    </row>
    <row r="307" spans="1:41" ht="15" x14ac:dyDescent="0.2">
      <c r="A307" s="41" t="str">
        <f>IF(COUNTA(B307)&gt;0,299,"")</f>
        <v/>
      </c>
      <c r="B307" s="18"/>
      <c r="C307" s="18"/>
      <c r="D307" s="18"/>
      <c r="E307" s="18"/>
      <c r="F307" s="18"/>
      <c r="G307" s="24" t="str">
        <f t="shared" si="0"/>
        <v/>
      </c>
      <c r="H307" s="18"/>
      <c r="I307" s="39"/>
      <c r="J307" s="18"/>
      <c r="K307" s="18"/>
      <c r="L307" s="18"/>
      <c r="M307" s="18"/>
      <c r="N307" s="43" t="str">
        <f>IF(COUNTA(B307)&gt;0,C5,"")</f>
        <v/>
      </c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7"/>
      <c r="AC307" s="18"/>
      <c r="AD307" s="18"/>
      <c r="AE307" s="18"/>
      <c r="AF307" s="18"/>
      <c r="AG307" s="39"/>
      <c r="AH307" s="18"/>
      <c r="AI307" s="18"/>
      <c r="AJ307" s="18"/>
      <c r="AK307" s="18"/>
      <c r="AL307" s="18"/>
      <c r="AM307" s="17"/>
      <c r="AO307" t="str">
        <f t="shared" si="5"/>
        <v/>
      </c>
    </row>
    <row r="308" spans="1:41" ht="15" x14ac:dyDescent="0.2">
      <c r="A308" s="41" t="str">
        <f>IF(COUNTA(B308)&gt;0,300,"")</f>
        <v/>
      </c>
      <c r="B308" s="18"/>
      <c r="C308" s="18"/>
      <c r="D308" s="18"/>
      <c r="E308" s="18"/>
      <c r="F308" s="18"/>
      <c r="G308" s="24" t="str">
        <f t="shared" si="0"/>
        <v/>
      </c>
      <c r="H308" s="18"/>
      <c r="I308" s="39"/>
      <c r="J308" s="18"/>
      <c r="K308" s="18"/>
      <c r="L308" s="18"/>
      <c r="M308" s="18"/>
      <c r="N308" s="43" t="str">
        <f>IF(COUNTA(B308)&gt;0,C5,"")</f>
        <v/>
      </c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7"/>
      <c r="AC308" s="18"/>
      <c r="AD308" s="18"/>
      <c r="AE308" s="18"/>
      <c r="AF308" s="18"/>
      <c r="AG308" s="39"/>
      <c r="AH308" s="18"/>
      <c r="AI308" s="18"/>
      <c r="AJ308" s="18"/>
      <c r="AK308" s="18"/>
      <c r="AL308" s="18"/>
      <c r="AM308" s="17"/>
      <c r="AO308" t="str">
        <f t="shared" si="5"/>
        <v/>
      </c>
    </row>
    <row r="309" spans="1:41" ht="15" x14ac:dyDescent="0.2">
      <c r="A309" s="41" t="str">
        <f>IF(COUNTA(B309)&gt;0,301,"")</f>
        <v/>
      </c>
      <c r="B309" s="18"/>
      <c r="C309" s="18"/>
      <c r="D309" s="18"/>
      <c r="E309" s="18"/>
      <c r="F309" s="18"/>
      <c r="G309" s="24" t="str">
        <f t="shared" si="0"/>
        <v/>
      </c>
      <c r="H309" s="18"/>
      <c r="I309" s="39"/>
      <c r="J309" s="18"/>
      <c r="K309" s="18"/>
      <c r="L309" s="18"/>
      <c r="M309" s="18"/>
      <c r="N309" s="43" t="str">
        <f>IF(COUNTA(B309)&gt;0,C5,"")</f>
        <v/>
      </c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7"/>
      <c r="AC309" s="18"/>
      <c r="AD309" s="18"/>
      <c r="AE309" s="18"/>
      <c r="AF309" s="18"/>
      <c r="AG309" s="39"/>
      <c r="AH309" s="18"/>
      <c r="AI309" s="18"/>
      <c r="AJ309" s="18"/>
      <c r="AK309" s="18"/>
      <c r="AL309" s="18"/>
      <c r="AM309" s="17"/>
      <c r="AO309" t="str">
        <f t="shared" si="5"/>
        <v/>
      </c>
    </row>
    <row r="310" spans="1:41" ht="15" x14ac:dyDescent="0.2">
      <c r="A310" s="41" t="str">
        <f>IF(COUNTA(B310)&gt;0,302,"")</f>
        <v/>
      </c>
      <c r="B310" s="18"/>
      <c r="C310" s="18"/>
      <c r="D310" s="18"/>
      <c r="E310" s="18"/>
      <c r="F310" s="18"/>
      <c r="G310" s="24" t="str">
        <f t="shared" si="0"/>
        <v/>
      </c>
      <c r="H310" s="18"/>
      <c r="I310" s="39"/>
      <c r="J310" s="18"/>
      <c r="K310" s="18"/>
      <c r="L310" s="18"/>
      <c r="M310" s="18"/>
      <c r="N310" s="43" t="str">
        <f>IF(COUNTA(B310)&gt;0,C5,"")</f>
        <v/>
      </c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7"/>
      <c r="AC310" s="18"/>
      <c r="AD310" s="18"/>
      <c r="AE310" s="18"/>
      <c r="AF310" s="18"/>
      <c r="AG310" s="39"/>
      <c r="AH310" s="18"/>
      <c r="AI310" s="18"/>
      <c r="AJ310" s="18"/>
      <c r="AK310" s="18"/>
      <c r="AL310" s="18"/>
      <c r="AM310" s="17"/>
      <c r="AO310" t="str">
        <f t="shared" si="5"/>
        <v/>
      </c>
    </row>
    <row r="311" spans="1:41" ht="15" x14ac:dyDescent="0.2">
      <c r="A311" s="41" t="str">
        <f>IF(COUNTA(B311)&gt;0,303,"")</f>
        <v/>
      </c>
      <c r="B311" s="18"/>
      <c r="C311" s="18"/>
      <c r="D311" s="18"/>
      <c r="E311" s="18"/>
      <c r="F311" s="18"/>
      <c r="G311" s="24" t="str">
        <f t="shared" si="0"/>
        <v/>
      </c>
      <c r="H311" s="18"/>
      <c r="I311" s="39"/>
      <c r="J311" s="18"/>
      <c r="K311" s="18"/>
      <c r="L311" s="18"/>
      <c r="M311" s="18"/>
      <c r="N311" s="43" t="str">
        <f>IF(COUNTA(B311)&gt;0,C5,"")</f>
        <v/>
      </c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7"/>
      <c r="AC311" s="18"/>
      <c r="AD311" s="18"/>
      <c r="AE311" s="18"/>
      <c r="AF311" s="18"/>
      <c r="AG311" s="39"/>
      <c r="AH311" s="18"/>
      <c r="AI311" s="18"/>
      <c r="AJ311" s="18"/>
      <c r="AK311" s="18"/>
      <c r="AL311" s="18"/>
      <c r="AM311" s="17"/>
      <c r="AO311" t="str">
        <f t="shared" si="5"/>
        <v/>
      </c>
    </row>
    <row r="312" spans="1:41" ht="15" x14ac:dyDescent="0.2">
      <c r="A312" s="41" t="str">
        <f>IF(COUNTA(B312)&gt;0,304,"")</f>
        <v/>
      </c>
      <c r="B312" s="18"/>
      <c r="C312" s="18"/>
      <c r="D312" s="18"/>
      <c r="E312" s="18"/>
      <c r="F312" s="18"/>
      <c r="G312" s="24" t="str">
        <f t="shared" si="0"/>
        <v/>
      </c>
      <c r="H312" s="18"/>
      <c r="I312" s="39"/>
      <c r="J312" s="18"/>
      <c r="K312" s="18"/>
      <c r="L312" s="18"/>
      <c r="M312" s="18"/>
      <c r="N312" s="43" t="str">
        <f>IF(COUNTA(B312)&gt;0,C5,"")</f>
        <v/>
      </c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7"/>
      <c r="AC312" s="18"/>
      <c r="AD312" s="18"/>
      <c r="AE312" s="18"/>
      <c r="AF312" s="18"/>
      <c r="AG312" s="39"/>
      <c r="AH312" s="18"/>
      <c r="AI312" s="18"/>
      <c r="AJ312" s="18"/>
      <c r="AK312" s="18"/>
      <c r="AL312" s="18"/>
      <c r="AM312" s="17"/>
      <c r="AO312" t="str">
        <f t="shared" si="5"/>
        <v/>
      </c>
    </row>
    <row r="313" spans="1:41" ht="15" x14ac:dyDescent="0.2">
      <c r="A313" s="41" t="str">
        <f>IF(COUNTA(B313)&gt;0,305,"")</f>
        <v/>
      </c>
      <c r="B313" s="18"/>
      <c r="C313" s="18"/>
      <c r="D313" s="18"/>
      <c r="E313" s="18"/>
      <c r="F313" s="18"/>
      <c r="G313" s="24" t="str">
        <f t="shared" si="0"/>
        <v/>
      </c>
      <c r="H313" s="18"/>
      <c r="I313" s="39"/>
      <c r="J313" s="18"/>
      <c r="K313" s="18"/>
      <c r="L313" s="18"/>
      <c r="M313" s="18"/>
      <c r="N313" s="43" t="str">
        <f>IF(COUNTA(B313)&gt;0,C5,"")</f>
        <v/>
      </c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7"/>
      <c r="AC313" s="18"/>
      <c r="AD313" s="18"/>
      <c r="AE313" s="18"/>
      <c r="AF313" s="18"/>
      <c r="AG313" s="39"/>
      <c r="AH313" s="18"/>
      <c r="AI313" s="18"/>
      <c r="AJ313" s="18"/>
      <c r="AK313" s="18"/>
      <c r="AL313" s="18"/>
      <c r="AM313" s="17"/>
      <c r="AO313" t="str">
        <f t="shared" si="5"/>
        <v/>
      </c>
    </row>
    <row r="314" spans="1:41" ht="15" x14ac:dyDescent="0.2">
      <c r="A314" s="41" t="str">
        <f>IF(COUNTA(B314)&gt;0,306,"")</f>
        <v/>
      </c>
      <c r="B314" s="18"/>
      <c r="C314" s="18"/>
      <c r="D314" s="18"/>
      <c r="E314" s="18"/>
      <c r="F314" s="18"/>
      <c r="G314" s="24" t="str">
        <f t="shared" si="0"/>
        <v/>
      </c>
      <c r="H314" s="18"/>
      <c r="I314" s="39"/>
      <c r="J314" s="18"/>
      <c r="K314" s="18"/>
      <c r="L314" s="18"/>
      <c r="M314" s="18"/>
      <c r="N314" s="43" t="str">
        <f>IF(COUNTA(B314)&gt;0,C5,"")</f>
        <v/>
      </c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7"/>
      <c r="AC314" s="18"/>
      <c r="AD314" s="18"/>
      <c r="AE314" s="18"/>
      <c r="AF314" s="18"/>
      <c r="AG314" s="39"/>
      <c r="AH314" s="18"/>
      <c r="AI314" s="18"/>
      <c r="AJ314" s="18"/>
      <c r="AK314" s="18"/>
      <c r="AL314" s="18"/>
      <c r="AM314" s="17"/>
      <c r="AO314" t="str">
        <f t="shared" si="5"/>
        <v/>
      </c>
    </row>
    <row r="315" spans="1:41" x14ac:dyDescent="0.2">
      <c r="A315" s="44" t="str">
        <f>IF(COUNTA(B315)&gt;0,307,"")</f>
        <v/>
      </c>
      <c r="G315" s="25" t="str">
        <f t="shared" si="0"/>
        <v/>
      </c>
      <c r="N315" s="44" t="str">
        <f>IF(COUNTA(B315)&gt;0,C5,"")</f>
        <v/>
      </c>
      <c r="AO315" t="str">
        <f t="shared" si="5"/>
        <v/>
      </c>
    </row>
    <row r="316" spans="1:41" x14ac:dyDescent="0.2">
      <c r="A316" s="44" t="str">
        <f>IF(COUNTA(B316)&gt;0,308,"")</f>
        <v/>
      </c>
      <c r="G316" s="25" t="str">
        <f t="shared" si="0"/>
        <v/>
      </c>
      <c r="N316" s="44" t="str">
        <f>IF(COUNTA(B316)&gt;0,C5,"")</f>
        <v/>
      </c>
      <c r="AO316" t="str">
        <f t="shared" si="5"/>
        <v/>
      </c>
    </row>
    <row r="317" spans="1:41" x14ac:dyDescent="0.2">
      <c r="A317" s="44" t="str">
        <f>IF(COUNTA(B317)&gt;0,309,"")</f>
        <v/>
      </c>
      <c r="G317" s="25" t="str">
        <f t="shared" si="0"/>
        <v/>
      </c>
      <c r="N317" s="44" t="str">
        <f>IF(COUNTA(B317)&gt;0,C5,"")</f>
        <v/>
      </c>
      <c r="AO317" t="str">
        <f t="shared" si="5"/>
        <v/>
      </c>
    </row>
    <row r="318" spans="1:41" x14ac:dyDescent="0.2">
      <c r="A318" s="44" t="str">
        <f>IF(COUNTA(B318)&gt;0,310,"")</f>
        <v/>
      </c>
      <c r="G318" s="25" t="str">
        <f t="shared" si="0"/>
        <v/>
      </c>
      <c r="N318" s="44" t="str">
        <f>IF(COUNTA(B318)&gt;0,C5,"")</f>
        <v/>
      </c>
      <c r="AO318" t="str">
        <f t="shared" si="5"/>
        <v/>
      </c>
    </row>
    <row r="319" spans="1:41" x14ac:dyDescent="0.2">
      <c r="A319" s="44" t="str">
        <f>IF(COUNTA(B319)&gt;0,311,"")</f>
        <v/>
      </c>
      <c r="G319" s="25" t="str">
        <f t="shared" si="0"/>
        <v/>
      </c>
      <c r="N319" s="44" t="str">
        <f>IF(COUNTA(B319)&gt;0,C5,"")</f>
        <v/>
      </c>
      <c r="AO319" t="str">
        <f t="shared" si="5"/>
        <v/>
      </c>
    </row>
    <row r="320" spans="1:41" x14ac:dyDescent="0.2">
      <c r="A320" s="44" t="str">
        <f>IF(COUNTA(B320)&gt;0,312,"")</f>
        <v/>
      </c>
      <c r="G320" s="25" t="str">
        <f t="shared" si="0"/>
        <v/>
      </c>
      <c r="N320" s="44" t="str">
        <f>IF(COUNTA(B320)&gt;0,C5,"")</f>
        <v/>
      </c>
      <c r="AO320" t="str">
        <f t="shared" si="5"/>
        <v/>
      </c>
    </row>
    <row r="321" spans="1:41" x14ac:dyDescent="0.2">
      <c r="A321" s="44" t="str">
        <f>IF(COUNTA(B321)&gt;0,313,"")</f>
        <v/>
      </c>
      <c r="G321" s="25" t="str">
        <f t="shared" si="0"/>
        <v/>
      </c>
      <c r="N321" s="44" t="str">
        <f>IF(COUNTA(B321)&gt;0,C5,"")</f>
        <v/>
      </c>
      <c r="AO321" t="str">
        <f t="shared" si="5"/>
        <v/>
      </c>
    </row>
    <row r="322" spans="1:41" x14ac:dyDescent="0.2">
      <c r="A322" s="44" t="str">
        <f>IF(COUNTA(B322)&gt;0,314,"")</f>
        <v/>
      </c>
      <c r="G322" s="25" t="str">
        <f t="shared" si="0"/>
        <v/>
      </c>
      <c r="N322" s="44" t="str">
        <f>IF(COUNTA(B322)&gt;0,C5,"")</f>
        <v/>
      </c>
      <c r="AO322" t="str">
        <f t="shared" si="5"/>
        <v/>
      </c>
    </row>
    <row r="323" spans="1:41" x14ac:dyDescent="0.2">
      <c r="A323" s="44" t="str">
        <f>IF(COUNTA(B323)&gt;0,315,"")</f>
        <v/>
      </c>
      <c r="G323" s="25" t="str">
        <f t="shared" si="0"/>
        <v/>
      </c>
      <c r="N323" s="44" t="str">
        <f>IF(COUNTA(B323)&gt;0,C5,"")</f>
        <v/>
      </c>
      <c r="AO323" t="str">
        <f t="shared" si="5"/>
        <v/>
      </c>
    </row>
    <row r="324" spans="1:41" x14ac:dyDescent="0.2">
      <c r="A324" s="44" t="str">
        <f>IF(COUNTA(B324)&gt;0,316,"")</f>
        <v/>
      </c>
      <c r="G324" s="25" t="str">
        <f t="shared" si="0"/>
        <v/>
      </c>
      <c r="N324" s="44" t="str">
        <f>IF(COUNTA(B324)&gt;0,C5,"")</f>
        <v/>
      </c>
      <c r="AO324" t="str">
        <f t="shared" si="5"/>
        <v/>
      </c>
    </row>
    <row r="325" spans="1:41" x14ac:dyDescent="0.2">
      <c r="A325" s="44" t="str">
        <f>IF(COUNTA(B325)&gt;0,317,"")</f>
        <v/>
      </c>
      <c r="G325" s="25" t="str">
        <f t="shared" si="0"/>
        <v/>
      </c>
      <c r="N325" s="44" t="str">
        <f>IF(COUNTA(B325)&gt;0,C5,"")</f>
        <v/>
      </c>
      <c r="AO325" t="str">
        <f t="shared" si="5"/>
        <v/>
      </c>
    </row>
    <row r="326" spans="1:41" x14ac:dyDescent="0.2">
      <c r="A326" s="44" t="str">
        <f>IF(COUNTA(B326)&gt;0,318,"")</f>
        <v/>
      </c>
      <c r="G326" s="25" t="str">
        <f t="shared" si="0"/>
        <v/>
      </c>
      <c r="N326" s="44" t="str">
        <f>IF(COUNTA(B326)&gt;0,C5,"")</f>
        <v/>
      </c>
      <c r="AO326" t="str">
        <f t="shared" si="5"/>
        <v/>
      </c>
    </row>
    <row r="327" spans="1:41" x14ac:dyDescent="0.2">
      <c r="A327" s="44" t="str">
        <f>IF(COUNTA(B327)&gt;0,319,"")</f>
        <v/>
      </c>
      <c r="G327" s="25" t="str">
        <f t="shared" si="0"/>
        <v/>
      </c>
      <c r="N327" s="44" t="str">
        <f>IF(COUNTA(B327)&gt;0,C5,"")</f>
        <v/>
      </c>
      <c r="AO327" t="str">
        <f t="shared" si="5"/>
        <v/>
      </c>
    </row>
    <row r="328" spans="1:41" x14ac:dyDescent="0.2">
      <c r="A328" s="44" t="str">
        <f>IF(COUNTA(B328)&gt;0,320,"")</f>
        <v/>
      </c>
      <c r="G328" s="25" t="str">
        <f t="shared" si="0"/>
        <v/>
      </c>
      <c r="N328" s="44" t="str">
        <f>IF(COUNTA(B328)&gt;0,C5,"")</f>
        <v/>
      </c>
      <c r="AO328" t="str">
        <f t="shared" si="5"/>
        <v/>
      </c>
    </row>
    <row r="329" spans="1:41" x14ac:dyDescent="0.2">
      <c r="A329" s="44" t="str">
        <f>IF(COUNTA(B329)&gt;0,321,"")</f>
        <v/>
      </c>
      <c r="G329" s="25" t="str">
        <f t="shared" si="0"/>
        <v/>
      </c>
      <c r="N329" s="44" t="str">
        <f>IF(COUNTA(B329)&gt;0,C5,"")</f>
        <v/>
      </c>
      <c r="AO329" t="str">
        <f t="shared" ref="AO329:AO392" si="6">IF(COUNTA(L329:M329)&lt;&gt;0,"Có",IF(COUNTA(B329)&gt;0,"Không",""))</f>
        <v/>
      </c>
    </row>
    <row r="330" spans="1:41" x14ac:dyDescent="0.2">
      <c r="A330" s="44" t="str">
        <f>IF(COUNTA(B330)&gt;0,322,"")</f>
        <v/>
      </c>
      <c r="G330" s="25" t="str">
        <f t="shared" si="0"/>
        <v/>
      </c>
      <c r="N330" s="44" t="str">
        <f>IF(COUNTA(B330)&gt;0,C5,"")</f>
        <v/>
      </c>
      <c r="AO330" t="str">
        <f t="shared" si="6"/>
        <v/>
      </c>
    </row>
    <row r="331" spans="1:41" x14ac:dyDescent="0.2">
      <c r="A331" s="44" t="str">
        <f>IF(COUNTA(B331)&gt;0,323,"")</f>
        <v/>
      </c>
      <c r="G331" s="25" t="str">
        <f t="shared" si="0"/>
        <v/>
      </c>
      <c r="N331" s="44" t="str">
        <f>IF(COUNTA(B331)&gt;0,C5,"")</f>
        <v/>
      </c>
      <c r="AO331" t="str">
        <f t="shared" si="6"/>
        <v/>
      </c>
    </row>
    <row r="332" spans="1:41" x14ac:dyDescent="0.2">
      <c r="A332" s="44" t="str">
        <f>IF(COUNTA(B332)&gt;0,324,"")</f>
        <v/>
      </c>
      <c r="G332" s="25" t="str">
        <f t="shared" si="0"/>
        <v/>
      </c>
      <c r="N332" s="44" t="str">
        <f>IF(COUNTA(B332)&gt;0,C5,"")</f>
        <v/>
      </c>
      <c r="AO332" t="str">
        <f t="shared" si="6"/>
        <v/>
      </c>
    </row>
    <row r="333" spans="1:41" x14ac:dyDescent="0.2">
      <c r="A333" s="44" t="str">
        <f>IF(COUNTA(B333)&gt;0,325,"")</f>
        <v/>
      </c>
      <c r="G333" s="25" t="str">
        <f t="shared" si="0"/>
        <v/>
      </c>
      <c r="N333" s="44" t="str">
        <f>IF(COUNTA(B333)&gt;0,C5,"")</f>
        <v/>
      </c>
      <c r="AO333" t="str">
        <f t="shared" si="6"/>
        <v/>
      </c>
    </row>
    <row r="334" spans="1:41" x14ac:dyDescent="0.2">
      <c r="A334" s="44" t="str">
        <f>IF(COUNTA(B334)&gt;0,326,"")</f>
        <v/>
      </c>
      <c r="G334" s="25" t="str">
        <f t="shared" si="0"/>
        <v/>
      </c>
      <c r="N334" s="44" t="str">
        <f>IF(COUNTA(B334)&gt;0,C5,"")</f>
        <v/>
      </c>
      <c r="AO334" t="str">
        <f t="shared" si="6"/>
        <v/>
      </c>
    </row>
    <row r="335" spans="1:41" x14ac:dyDescent="0.2">
      <c r="A335" s="44" t="str">
        <f>IF(COUNTA(B335)&gt;0,327,"")</f>
        <v/>
      </c>
      <c r="G335" s="25" t="str">
        <f t="shared" si="0"/>
        <v/>
      </c>
      <c r="N335" s="44" t="str">
        <f>IF(COUNTA(B335)&gt;0,C5,"")</f>
        <v/>
      </c>
      <c r="AO335" t="str">
        <f t="shared" si="6"/>
        <v/>
      </c>
    </row>
    <row r="336" spans="1:41" x14ac:dyDescent="0.2">
      <c r="A336" s="44" t="str">
        <f>IF(COUNTA(B336)&gt;0,328,"")</f>
        <v/>
      </c>
      <c r="G336" s="25" t="str">
        <f t="shared" si="0"/>
        <v/>
      </c>
      <c r="N336" s="44" t="str">
        <f>IF(COUNTA(B336)&gt;0,C5,"")</f>
        <v/>
      </c>
      <c r="AO336" t="str">
        <f t="shared" si="6"/>
        <v/>
      </c>
    </row>
    <row r="337" spans="1:41" x14ac:dyDescent="0.2">
      <c r="A337" s="44" t="str">
        <f>IF(COUNTA(B337)&gt;0,329,"")</f>
        <v/>
      </c>
      <c r="G337" s="25" t="str">
        <f t="shared" si="0"/>
        <v/>
      </c>
      <c r="N337" s="44" t="str">
        <f>IF(COUNTA(B337)&gt;0,C5,"")</f>
        <v/>
      </c>
      <c r="AO337" t="str">
        <f t="shared" si="6"/>
        <v/>
      </c>
    </row>
    <row r="338" spans="1:41" x14ac:dyDescent="0.2">
      <c r="A338" s="44" t="str">
        <f>IF(COUNTA(B338)&gt;0,330,"")</f>
        <v/>
      </c>
      <c r="G338" s="25" t="str">
        <f t="shared" si="0"/>
        <v/>
      </c>
      <c r="N338" s="44" t="str">
        <f>IF(COUNTA(B338)&gt;0,C5,"")</f>
        <v/>
      </c>
      <c r="AO338" t="str">
        <f t="shared" si="6"/>
        <v/>
      </c>
    </row>
    <row r="339" spans="1:41" x14ac:dyDescent="0.2">
      <c r="A339" s="44" t="str">
        <f>IF(COUNTA(B339)&gt;0,331,"")</f>
        <v/>
      </c>
      <c r="G339" s="25" t="str">
        <f t="shared" si="0"/>
        <v/>
      </c>
      <c r="N339" s="44" t="str">
        <f>IF(COUNTA(B339)&gt;0,C5,"")</f>
        <v/>
      </c>
      <c r="AO339" t="str">
        <f t="shared" si="6"/>
        <v/>
      </c>
    </row>
    <row r="340" spans="1:41" x14ac:dyDescent="0.2">
      <c r="A340" s="44" t="str">
        <f>IF(COUNTA(B340)&gt;0,332,"")</f>
        <v/>
      </c>
      <c r="G340" s="25" t="str">
        <f t="shared" si="0"/>
        <v/>
      </c>
      <c r="N340" s="44" t="str">
        <f>IF(COUNTA(B340)&gt;0,C5,"")</f>
        <v/>
      </c>
      <c r="AO340" t="str">
        <f t="shared" si="6"/>
        <v/>
      </c>
    </row>
    <row r="341" spans="1:41" x14ac:dyDescent="0.2">
      <c r="A341" s="44" t="str">
        <f>IF(COUNTA(B341)&gt;0,333,"")</f>
        <v/>
      </c>
      <c r="G341" s="25" t="str">
        <f t="shared" si="0"/>
        <v/>
      </c>
      <c r="N341" s="44" t="str">
        <f>IF(COUNTA(B341)&gt;0,C5,"")</f>
        <v/>
      </c>
      <c r="AO341" t="str">
        <f t="shared" si="6"/>
        <v/>
      </c>
    </row>
    <row r="342" spans="1:41" x14ac:dyDescent="0.2">
      <c r="A342" s="44" t="str">
        <f>IF(COUNTA(B342)&gt;0,334,"")</f>
        <v/>
      </c>
      <c r="G342" s="25" t="str">
        <f t="shared" si="0"/>
        <v/>
      </c>
      <c r="N342" s="44" t="str">
        <f>IF(COUNTA(B342)&gt;0,C5,"")</f>
        <v/>
      </c>
      <c r="AO342" t="str">
        <f t="shared" si="6"/>
        <v/>
      </c>
    </row>
    <row r="343" spans="1:41" x14ac:dyDescent="0.2">
      <c r="A343" s="44" t="str">
        <f>IF(COUNTA(B343)&gt;0,335,"")</f>
        <v/>
      </c>
      <c r="G343" s="25" t="str">
        <f t="shared" si="0"/>
        <v/>
      </c>
      <c r="N343" s="44" t="str">
        <f>IF(COUNTA(B343)&gt;0,C5,"")</f>
        <v/>
      </c>
      <c r="AO343" t="str">
        <f t="shared" si="6"/>
        <v/>
      </c>
    </row>
    <row r="344" spans="1:41" x14ac:dyDescent="0.2">
      <c r="A344" s="44" t="str">
        <f>IF(COUNTA(B344)&gt;0,336,"")</f>
        <v/>
      </c>
      <c r="G344" s="25" t="str">
        <f t="shared" si="0"/>
        <v/>
      </c>
      <c r="N344" s="44" t="str">
        <f>IF(COUNTA(B344)&gt;0,C5,"")</f>
        <v/>
      </c>
      <c r="AO344" t="str">
        <f t="shared" si="6"/>
        <v/>
      </c>
    </row>
    <row r="345" spans="1:41" x14ac:dyDescent="0.2">
      <c r="A345" s="44" t="str">
        <f>IF(COUNTA(B345)&gt;0,337,"")</f>
        <v/>
      </c>
      <c r="G345" s="25" t="str">
        <f t="shared" si="0"/>
        <v/>
      </c>
      <c r="N345" s="44" t="str">
        <f>IF(COUNTA(B345)&gt;0,C5,"")</f>
        <v/>
      </c>
      <c r="AO345" t="str">
        <f t="shared" si="6"/>
        <v/>
      </c>
    </row>
    <row r="346" spans="1:41" x14ac:dyDescent="0.2">
      <c r="A346" s="44" t="str">
        <f>IF(COUNTA(B346)&gt;0,338,"")</f>
        <v/>
      </c>
      <c r="G346" s="25" t="str">
        <f t="shared" si="0"/>
        <v/>
      </c>
      <c r="N346" s="44" t="str">
        <f>IF(COUNTA(B346)&gt;0,C5,"")</f>
        <v/>
      </c>
      <c r="AO346" t="str">
        <f t="shared" si="6"/>
        <v/>
      </c>
    </row>
    <row r="347" spans="1:41" x14ac:dyDescent="0.2">
      <c r="A347" s="44" t="str">
        <f>IF(COUNTA(B347)&gt;0,339,"")</f>
        <v/>
      </c>
      <c r="G347" s="25" t="str">
        <f t="shared" si="0"/>
        <v/>
      </c>
      <c r="N347" s="44" t="str">
        <f>IF(COUNTA(B347)&gt;0,C5,"")</f>
        <v/>
      </c>
      <c r="AO347" t="str">
        <f t="shared" si="6"/>
        <v/>
      </c>
    </row>
    <row r="348" spans="1:41" x14ac:dyDescent="0.2">
      <c r="A348" s="44" t="str">
        <f>IF(COUNTA(B348)&gt;0,340,"")</f>
        <v/>
      </c>
      <c r="G348" s="25" t="str">
        <f t="shared" si="0"/>
        <v/>
      </c>
      <c r="N348" s="44" t="str">
        <f>IF(COUNTA(B348)&gt;0,C5,"")</f>
        <v/>
      </c>
      <c r="AO348" t="str">
        <f t="shared" si="6"/>
        <v/>
      </c>
    </row>
    <row r="349" spans="1:41" x14ac:dyDescent="0.2">
      <c r="A349" s="44" t="str">
        <f>IF(COUNTA(B349)&gt;0,341,"")</f>
        <v/>
      </c>
      <c r="G349" s="25" t="str">
        <f t="shared" si="0"/>
        <v/>
      </c>
      <c r="N349" s="44" t="str">
        <f>IF(COUNTA(B349)&gt;0,C5,"")</f>
        <v/>
      </c>
      <c r="AO349" t="str">
        <f t="shared" si="6"/>
        <v/>
      </c>
    </row>
    <row r="350" spans="1:41" x14ac:dyDescent="0.2">
      <c r="A350" s="44" t="str">
        <f>IF(COUNTA(B350)&gt;0,342,"")</f>
        <v/>
      </c>
      <c r="G350" s="25" t="str">
        <f t="shared" si="0"/>
        <v/>
      </c>
      <c r="N350" s="44" t="str">
        <f>IF(COUNTA(B350)&gt;0,C5,"")</f>
        <v/>
      </c>
      <c r="AO350" t="str">
        <f t="shared" si="6"/>
        <v/>
      </c>
    </row>
    <row r="351" spans="1:41" x14ac:dyDescent="0.2">
      <c r="A351" s="44" t="str">
        <f>IF(COUNTA(B351)&gt;0,343,"")</f>
        <v/>
      </c>
      <c r="G351" s="25" t="str">
        <f t="shared" si="0"/>
        <v/>
      </c>
      <c r="N351" s="44" t="str">
        <f>IF(COUNTA(B351)&gt;0,C5,"")</f>
        <v/>
      </c>
      <c r="AO351" t="str">
        <f t="shared" si="6"/>
        <v/>
      </c>
    </row>
    <row r="352" spans="1:41" x14ac:dyDescent="0.2">
      <c r="A352" s="44" t="str">
        <f>IF(COUNTA(B352)&gt;0,344,"")</f>
        <v/>
      </c>
      <c r="G352" s="25" t="str">
        <f t="shared" si="0"/>
        <v/>
      </c>
      <c r="N352" s="44" t="str">
        <f>IF(COUNTA(B352)&gt;0,C5,"")</f>
        <v/>
      </c>
      <c r="AO352" t="str">
        <f t="shared" si="6"/>
        <v/>
      </c>
    </row>
    <row r="353" spans="1:41" x14ac:dyDescent="0.2">
      <c r="A353" s="44" t="str">
        <f>IF(COUNTA(B353)&gt;0,345,"")</f>
        <v/>
      </c>
      <c r="G353" s="25" t="str">
        <f t="shared" si="0"/>
        <v/>
      </c>
      <c r="N353" s="44" t="str">
        <f>IF(COUNTA(B353)&gt;0,C5,"")</f>
        <v/>
      </c>
      <c r="AO353" t="str">
        <f t="shared" si="6"/>
        <v/>
      </c>
    </row>
    <row r="354" spans="1:41" x14ac:dyDescent="0.2">
      <c r="A354" s="44" t="str">
        <f>IF(COUNTA(B354)&gt;0,346,"")</f>
        <v/>
      </c>
      <c r="G354" s="25" t="str">
        <f t="shared" si="0"/>
        <v/>
      </c>
      <c r="N354" s="44" t="str">
        <f>IF(COUNTA(B354)&gt;0,C5,"")</f>
        <v/>
      </c>
      <c r="AO354" t="str">
        <f t="shared" si="6"/>
        <v/>
      </c>
    </row>
    <row r="355" spans="1:41" x14ac:dyDescent="0.2">
      <c r="A355" s="44" t="str">
        <f>IF(COUNTA(B355)&gt;0,347,"")</f>
        <v/>
      </c>
      <c r="G355" s="25" t="str">
        <f t="shared" si="0"/>
        <v/>
      </c>
      <c r="N355" s="44" t="str">
        <f>IF(COUNTA(B355)&gt;0,C5,"")</f>
        <v/>
      </c>
      <c r="AO355" t="str">
        <f t="shared" si="6"/>
        <v/>
      </c>
    </row>
    <row r="356" spans="1:41" x14ac:dyDescent="0.2">
      <c r="A356" s="44" t="str">
        <f>IF(COUNTA(B356)&gt;0,348,"")</f>
        <v/>
      </c>
      <c r="G356" s="25" t="str">
        <f t="shared" si="0"/>
        <v/>
      </c>
      <c r="N356" s="44" t="str">
        <f>IF(COUNTA(B356)&gt;0,C5,"")</f>
        <v/>
      </c>
      <c r="AO356" t="str">
        <f t="shared" si="6"/>
        <v/>
      </c>
    </row>
    <row r="357" spans="1:41" x14ac:dyDescent="0.2">
      <c r="A357" s="44" t="str">
        <f>IF(COUNTA(B357)&gt;0,349,"")</f>
        <v/>
      </c>
      <c r="G357" s="25" t="str">
        <f t="shared" si="0"/>
        <v/>
      </c>
      <c r="N357" s="44" t="str">
        <f>IF(COUNTA(B357)&gt;0,C5,"")</f>
        <v/>
      </c>
      <c r="AO357" t="str">
        <f t="shared" si="6"/>
        <v/>
      </c>
    </row>
    <row r="358" spans="1:41" x14ac:dyDescent="0.2">
      <c r="A358" s="44" t="str">
        <f>IF(COUNTA(B358)&gt;0,350,"")</f>
        <v/>
      </c>
      <c r="G358" s="25" t="str">
        <f t="shared" si="0"/>
        <v/>
      </c>
      <c r="N358" s="44" t="str">
        <f>IF(COUNTA(B358)&gt;0,C5,"")</f>
        <v/>
      </c>
      <c r="AO358" t="str">
        <f t="shared" si="6"/>
        <v/>
      </c>
    </row>
    <row r="359" spans="1:41" x14ac:dyDescent="0.2">
      <c r="A359" s="44" t="str">
        <f>IF(COUNTA(B359)&gt;0,351,"")</f>
        <v/>
      </c>
      <c r="G359" s="25" t="str">
        <f t="shared" si="0"/>
        <v/>
      </c>
      <c r="N359" s="44" t="str">
        <f>IF(COUNTA(B359)&gt;0,C5,"")</f>
        <v/>
      </c>
      <c r="AO359" t="str">
        <f t="shared" si="6"/>
        <v/>
      </c>
    </row>
    <row r="360" spans="1:41" x14ac:dyDescent="0.2">
      <c r="A360" s="44" t="str">
        <f>IF(COUNTA(B360)&gt;0,352,"")</f>
        <v/>
      </c>
      <c r="G360" s="25" t="str">
        <f t="shared" si="0"/>
        <v/>
      </c>
      <c r="N360" s="44" t="str">
        <f>IF(COUNTA(B360)&gt;0,C5,"")</f>
        <v/>
      </c>
      <c r="AO360" t="str">
        <f t="shared" si="6"/>
        <v/>
      </c>
    </row>
    <row r="361" spans="1:41" x14ac:dyDescent="0.2">
      <c r="A361" s="44" t="str">
        <f>IF(COUNTA(B361)&gt;0,353,"")</f>
        <v/>
      </c>
      <c r="G361" s="25" t="str">
        <f t="shared" si="0"/>
        <v/>
      </c>
      <c r="N361" s="44" t="str">
        <f>IF(COUNTA(B361)&gt;0,C5,"")</f>
        <v/>
      </c>
      <c r="AO361" t="str">
        <f t="shared" si="6"/>
        <v/>
      </c>
    </row>
    <row r="362" spans="1:41" x14ac:dyDescent="0.2">
      <c r="A362" s="44" t="str">
        <f>IF(COUNTA(B362)&gt;0,354,"")</f>
        <v/>
      </c>
      <c r="G362" s="25" t="str">
        <f t="shared" si="0"/>
        <v/>
      </c>
      <c r="N362" s="44" t="str">
        <f>IF(COUNTA(B362)&gt;0,C5,"")</f>
        <v/>
      </c>
      <c r="AO362" t="str">
        <f t="shared" si="6"/>
        <v/>
      </c>
    </row>
    <row r="363" spans="1:41" x14ac:dyDescent="0.2">
      <c r="A363" s="44" t="str">
        <f>IF(COUNTA(B363)&gt;0,355,"")</f>
        <v/>
      </c>
      <c r="G363" s="25" t="str">
        <f t="shared" si="0"/>
        <v/>
      </c>
      <c r="N363" s="44" t="str">
        <f>IF(COUNTA(B363)&gt;0,C5,"")</f>
        <v/>
      </c>
      <c r="AO363" t="str">
        <f t="shared" si="6"/>
        <v/>
      </c>
    </row>
    <row r="364" spans="1:41" x14ac:dyDescent="0.2">
      <c r="A364" s="44" t="str">
        <f>IF(COUNTA(B364)&gt;0,356,"")</f>
        <v/>
      </c>
      <c r="G364" s="25" t="str">
        <f t="shared" si="0"/>
        <v/>
      </c>
      <c r="N364" s="44" t="str">
        <f>IF(COUNTA(B364)&gt;0,C5,"")</f>
        <v/>
      </c>
      <c r="AO364" t="str">
        <f t="shared" si="6"/>
        <v/>
      </c>
    </row>
    <row r="365" spans="1:41" x14ac:dyDescent="0.2">
      <c r="A365" s="44" t="str">
        <f>IF(COUNTA(B365)&gt;0,357,"")</f>
        <v/>
      </c>
      <c r="G365" s="25" t="str">
        <f t="shared" si="0"/>
        <v/>
      </c>
      <c r="N365" s="44" t="str">
        <f>IF(COUNTA(B365)&gt;0,C5,"")</f>
        <v/>
      </c>
      <c r="AO365" t="str">
        <f t="shared" si="6"/>
        <v/>
      </c>
    </row>
    <row r="366" spans="1:41" x14ac:dyDescent="0.2">
      <c r="A366" s="44" t="str">
        <f>IF(COUNTA(B366)&gt;0,358,"")</f>
        <v/>
      </c>
      <c r="G366" s="25" t="str">
        <f t="shared" si="0"/>
        <v/>
      </c>
      <c r="N366" s="44" t="str">
        <f>IF(COUNTA(B366)&gt;0,C5,"")</f>
        <v/>
      </c>
      <c r="AO366" t="str">
        <f t="shared" si="6"/>
        <v/>
      </c>
    </row>
    <row r="367" spans="1:41" x14ac:dyDescent="0.2">
      <c r="A367" s="44" t="str">
        <f>IF(COUNTA(B367)&gt;0,359,"")</f>
        <v/>
      </c>
      <c r="G367" s="25" t="str">
        <f t="shared" si="0"/>
        <v/>
      </c>
      <c r="N367" s="44" t="str">
        <f>IF(COUNTA(B367)&gt;0,C5,"")</f>
        <v/>
      </c>
      <c r="AO367" t="str">
        <f t="shared" si="6"/>
        <v/>
      </c>
    </row>
    <row r="368" spans="1:41" x14ac:dyDescent="0.2">
      <c r="A368" s="44" t="str">
        <f>IF(COUNTA(B368)&gt;0,360,"")</f>
        <v/>
      </c>
      <c r="G368" s="25" t="str">
        <f t="shared" si="0"/>
        <v/>
      </c>
      <c r="N368" s="44" t="str">
        <f>IF(COUNTA(B368)&gt;0,C5,"")</f>
        <v/>
      </c>
      <c r="AO368" t="str">
        <f t="shared" si="6"/>
        <v/>
      </c>
    </row>
    <row r="369" spans="1:41" x14ac:dyDescent="0.2">
      <c r="A369" s="44" t="str">
        <f>IF(COUNTA(B369)&gt;0,361,"")</f>
        <v/>
      </c>
      <c r="G369" s="25" t="str">
        <f t="shared" si="0"/>
        <v/>
      </c>
      <c r="N369" s="44" t="str">
        <f>IF(COUNTA(B369)&gt;0,C5,"")</f>
        <v/>
      </c>
      <c r="AO369" t="str">
        <f t="shared" si="6"/>
        <v/>
      </c>
    </row>
    <row r="370" spans="1:41" x14ac:dyDescent="0.2">
      <c r="A370" s="44" t="str">
        <f>IF(COUNTA(B370)&gt;0,362,"")</f>
        <v/>
      </c>
      <c r="G370" s="25" t="str">
        <f t="shared" si="0"/>
        <v/>
      </c>
      <c r="N370" s="44" t="str">
        <f>IF(COUNTA(B370)&gt;0,C5,"")</f>
        <v/>
      </c>
      <c r="AO370" t="str">
        <f t="shared" si="6"/>
        <v/>
      </c>
    </row>
    <row r="371" spans="1:41" x14ac:dyDescent="0.2">
      <c r="A371" s="44" t="str">
        <f>IF(COUNTA(B371)&gt;0,363,"")</f>
        <v/>
      </c>
      <c r="G371" s="25" t="str">
        <f t="shared" si="0"/>
        <v/>
      </c>
      <c r="N371" s="44" t="str">
        <f>IF(COUNTA(B371)&gt;0,C5,"")</f>
        <v/>
      </c>
      <c r="AO371" t="str">
        <f t="shared" si="6"/>
        <v/>
      </c>
    </row>
    <row r="372" spans="1:41" x14ac:dyDescent="0.2">
      <c r="A372" s="44" t="str">
        <f>IF(COUNTA(B372)&gt;0,364,"")</f>
        <v/>
      </c>
      <c r="G372" s="25" t="str">
        <f t="shared" si="0"/>
        <v/>
      </c>
      <c r="N372" s="44" t="str">
        <f>IF(COUNTA(B372)&gt;0,C5,"")</f>
        <v/>
      </c>
      <c r="AO372" t="str">
        <f t="shared" si="6"/>
        <v/>
      </c>
    </row>
    <row r="373" spans="1:41" x14ac:dyDescent="0.2">
      <c r="A373" s="44" t="str">
        <f>IF(COUNTA(B373)&gt;0,365,"")</f>
        <v/>
      </c>
      <c r="G373" s="25" t="str">
        <f t="shared" si="0"/>
        <v/>
      </c>
      <c r="N373" s="44" t="str">
        <f>IF(COUNTA(B373)&gt;0,C5,"")</f>
        <v/>
      </c>
      <c r="AO373" t="str">
        <f t="shared" si="6"/>
        <v/>
      </c>
    </row>
    <row r="374" spans="1:41" x14ac:dyDescent="0.2">
      <c r="A374" s="44" t="str">
        <f>IF(COUNTA(B374)&gt;0,366,"")</f>
        <v/>
      </c>
      <c r="G374" s="25" t="str">
        <f t="shared" si="0"/>
        <v/>
      </c>
      <c r="N374" s="44" t="str">
        <f>IF(COUNTA(B374)&gt;0,C5,"")</f>
        <v/>
      </c>
      <c r="AO374" t="str">
        <f t="shared" si="6"/>
        <v/>
      </c>
    </row>
    <row r="375" spans="1:41" x14ac:dyDescent="0.2">
      <c r="A375" s="44" t="str">
        <f>IF(COUNTA(B375)&gt;0,367,"")</f>
        <v/>
      </c>
      <c r="G375" s="25" t="str">
        <f t="shared" si="0"/>
        <v/>
      </c>
      <c r="N375" s="44" t="str">
        <f>IF(COUNTA(B375)&gt;0,C5,"")</f>
        <v/>
      </c>
      <c r="AO375" t="str">
        <f t="shared" si="6"/>
        <v/>
      </c>
    </row>
    <row r="376" spans="1:41" x14ac:dyDescent="0.2">
      <c r="A376" s="44" t="str">
        <f>IF(COUNTA(B376)&gt;0,368,"")</f>
        <v/>
      </c>
      <c r="G376" s="25" t="str">
        <f t="shared" si="0"/>
        <v/>
      </c>
      <c r="N376" s="44" t="str">
        <f>IF(COUNTA(B376)&gt;0,C5,"")</f>
        <v/>
      </c>
      <c r="AO376" t="str">
        <f t="shared" si="6"/>
        <v/>
      </c>
    </row>
    <row r="377" spans="1:41" x14ac:dyDescent="0.2">
      <c r="A377" s="44" t="str">
        <f>IF(COUNTA(B377)&gt;0,369,"")</f>
        <v/>
      </c>
      <c r="G377" s="25" t="str">
        <f t="shared" si="0"/>
        <v/>
      </c>
      <c r="N377" s="44" t="str">
        <f>IF(COUNTA(B377)&gt;0,C5,"")</f>
        <v/>
      </c>
      <c r="AO377" t="str">
        <f t="shared" si="6"/>
        <v/>
      </c>
    </row>
    <row r="378" spans="1:41" x14ac:dyDescent="0.2">
      <c r="A378" s="44" t="str">
        <f>IF(COUNTA(B378)&gt;0,370,"")</f>
        <v/>
      </c>
      <c r="G378" s="25" t="str">
        <f t="shared" si="0"/>
        <v/>
      </c>
      <c r="N378" s="44" t="str">
        <f>IF(COUNTA(B378)&gt;0,C5,"")</f>
        <v/>
      </c>
      <c r="AO378" t="str">
        <f t="shared" si="6"/>
        <v/>
      </c>
    </row>
    <row r="379" spans="1:41" x14ac:dyDescent="0.2">
      <c r="A379" s="44" t="str">
        <f>IF(COUNTA(B379)&gt;0,371,"")</f>
        <v/>
      </c>
      <c r="G379" s="25" t="str">
        <f t="shared" si="0"/>
        <v/>
      </c>
      <c r="N379" s="44" t="str">
        <f>IF(COUNTA(B379)&gt;0,C5,"")</f>
        <v/>
      </c>
      <c r="AO379" t="str">
        <f t="shared" si="6"/>
        <v/>
      </c>
    </row>
    <row r="380" spans="1:41" x14ac:dyDescent="0.2">
      <c r="A380" s="44" t="str">
        <f>IF(COUNTA(B380)&gt;0,372,"")</f>
        <v/>
      </c>
      <c r="G380" s="25" t="str">
        <f t="shared" si="0"/>
        <v/>
      </c>
      <c r="N380" s="44" t="str">
        <f>IF(COUNTA(B380)&gt;0,C5,"")</f>
        <v/>
      </c>
      <c r="AO380" t="str">
        <f t="shared" si="6"/>
        <v/>
      </c>
    </row>
    <row r="381" spans="1:41" x14ac:dyDescent="0.2">
      <c r="A381" s="44" t="str">
        <f>IF(COUNTA(B381)&gt;0,373,"")</f>
        <v/>
      </c>
      <c r="G381" s="25" t="str">
        <f t="shared" si="0"/>
        <v/>
      </c>
      <c r="N381" s="44" t="str">
        <f>IF(COUNTA(B381)&gt;0,C5,"")</f>
        <v/>
      </c>
      <c r="AO381" t="str">
        <f t="shared" si="6"/>
        <v/>
      </c>
    </row>
    <row r="382" spans="1:41" x14ac:dyDescent="0.2">
      <c r="A382" s="44" t="str">
        <f>IF(COUNTA(B382)&gt;0,374,"")</f>
        <v/>
      </c>
      <c r="G382" s="25" t="str">
        <f t="shared" si="0"/>
        <v/>
      </c>
      <c r="N382" s="44" t="str">
        <f>IF(COUNTA(B382)&gt;0,C5,"")</f>
        <v/>
      </c>
      <c r="AO382" t="str">
        <f t="shared" si="6"/>
        <v/>
      </c>
    </row>
    <row r="383" spans="1:41" x14ac:dyDescent="0.2">
      <c r="A383" s="44" t="str">
        <f>IF(COUNTA(B383)&gt;0,375,"")</f>
        <v/>
      </c>
      <c r="G383" s="25" t="str">
        <f t="shared" si="0"/>
        <v/>
      </c>
      <c r="N383" s="44" t="str">
        <f>IF(COUNTA(B383)&gt;0,C5,"")</f>
        <v/>
      </c>
      <c r="AO383" t="str">
        <f t="shared" si="6"/>
        <v/>
      </c>
    </row>
    <row r="384" spans="1:41" x14ac:dyDescent="0.2">
      <c r="A384" s="44" t="str">
        <f>IF(COUNTA(B384)&gt;0,376,"")</f>
        <v/>
      </c>
      <c r="G384" s="25" t="str">
        <f t="shared" si="0"/>
        <v/>
      </c>
      <c r="N384" s="44" t="str">
        <f>IF(COUNTA(B384)&gt;0,C5,"")</f>
        <v/>
      </c>
      <c r="AO384" t="str">
        <f t="shared" si="6"/>
        <v/>
      </c>
    </row>
    <row r="385" spans="1:41" x14ac:dyDescent="0.2">
      <c r="A385" s="44" t="str">
        <f>IF(COUNTA(B385)&gt;0,377,"")</f>
        <v/>
      </c>
      <c r="G385" s="25" t="str">
        <f t="shared" si="0"/>
        <v/>
      </c>
      <c r="N385" s="44" t="str">
        <f>IF(COUNTA(B385)&gt;0,C5,"")</f>
        <v/>
      </c>
      <c r="AO385" t="str">
        <f t="shared" si="6"/>
        <v/>
      </c>
    </row>
    <row r="386" spans="1:41" x14ac:dyDescent="0.2">
      <c r="A386" s="44" t="str">
        <f>IF(COUNTA(B386)&gt;0,378,"")</f>
        <v/>
      </c>
      <c r="G386" s="25" t="str">
        <f t="shared" si="0"/>
        <v/>
      </c>
      <c r="N386" s="44" t="str">
        <f>IF(COUNTA(B386)&gt;0,C5,"")</f>
        <v/>
      </c>
      <c r="AO386" t="str">
        <f t="shared" si="6"/>
        <v/>
      </c>
    </row>
    <row r="387" spans="1:41" x14ac:dyDescent="0.2">
      <c r="A387" s="44" t="str">
        <f>IF(COUNTA(B387)&gt;0,379,"")</f>
        <v/>
      </c>
      <c r="G387" s="25" t="str">
        <f t="shared" si="0"/>
        <v/>
      </c>
      <c r="N387" s="44" t="str">
        <f>IF(COUNTA(B387)&gt;0,C5,"")</f>
        <v/>
      </c>
      <c r="AO387" t="str">
        <f t="shared" si="6"/>
        <v/>
      </c>
    </row>
    <row r="388" spans="1:41" x14ac:dyDescent="0.2">
      <c r="A388" s="44" t="str">
        <f>IF(COUNTA(B388)&gt;0,380,"")</f>
        <v/>
      </c>
      <c r="G388" s="25" t="str">
        <f t="shared" si="0"/>
        <v/>
      </c>
      <c r="N388" s="44" t="str">
        <f>IF(COUNTA(B388)&gt;0,C5,"")</f>
        <v/>
      </c>
      <c r="AO388" t="str">
        <f t="shared" si="6"/>
        <v/>
      </c>
    </row>
    <row r="389" spans="1:41" x14ac:dyDescent="0.2">
      <c r="A389" s="44" t="str">
        <f>IF(COUNTA(B389)&gt;0,381,"")</f>
        <v/>
      </c>
      <c r="G389" s="25" t="str">
        <f t="shared" si="0"/>
        <v/>
      </c>
      <c r="N389" s="44" t="str">
        <f>IF(COUNTA(B389)&gt;0,C5,"")</f>
        <v/>
      </c>
      <c r="AO389" t="str">
        <f t="shared" si="6"/>
        <v/>
      </c>
    </row>
    <row r="390" spans="1:41" x14ac:dyDescent="0.2">
      <c r="A390" s="44" t="str">
        <f>IF(COUNTA(B390)&gt;0,382,"")</f>
        <v/>
      </c>
      <c r="G390" s="25" t="str">
        <f t="shared" si="0"/>
        <v/>
      </c>
      <c r="N390" s="44" t="str">
        <f>IF(COUNTA(B390)&gt;0,C5,"")</f>
        <v/>
      </c>
      <c r="AO390" t="str">
        <f t="shared" si="6"/>
        <v/>
      </c>
    </row>
    <row r="391" spans="1:41" x14ac:dyDescent="0.2">
      <c r="A391" s="44" t="str">
        <f>IF(COUNTA(B391)&gt;0,383,"")</f>
        <v/>
      </c>
      <c r="G391" s="25" t="str">
        <f t="shared" si="0"/>
        <v/>
      </c>
      <c r="N391" s="44" t="str">
        <f>IF(COUNTA(B391)&gt;0,C5,"")</f>
        <v/>
      </c>
      <c r="AO391" t="str">
        <f t="shared" si="6"/>
        <v/>
      </c>
    </row>
    <row r="392" spans="1:41" x14ac:dyDescent="0.2">
      <c r="A392" s="44" t="str">
        <f>IF(COUNTA(B392)&gt;0,384,"")</f>
        <v/>
      </c>
      <c r="G392" s="25" t="str">
        <f t="shared" si="0"/>
        <v/>
      </c>
      <c r="N392" s="44" t="str">
        <f>IF(COUNTA(B392)&gt;0,C5,"")</f>
        <v/>
      </c>
      <c r="AO392" t="str">
        <f t="shared" si="6"/>
        <v/>
      </c>
    </row>
    <row r="393" spans="1:41" x14ac:dyDescent="0.2">
      <c r="A393" s="44" t="str">
        <f>IF(COUNTA(B393)&gt;0,385,"")</f>
        <v/>
      </c>
      <c r="G393" s="25" t="str">
        <f t="shared" si="0"/>
        <v/>
      </c>
      <c r="N393" s="44" t="str">
        <f>IF(COUNTA(B393)&gt;0,C5,"")</f>
        <v/>
      </c>
      <c r="AO393" t="str">
        <f t="shared" ref="AO393:AO456" si="7">IF(COUNTA(L393:M393)&lt;&gt;0,"Có",IF(COUNTA(B393)&gt;0,"Không",""))</f>
        <v/>
      </c>
    </row>
    <row r="394" spans="1:41" x14ac:dyDescent="0.2">
      <c r="A394" s="44" t="str">
        <f>IF(COUNTA(B394)&gt;0,386,"")</f>
        <v/>
      </c>
      <c r="G394" s="25" t="str">
        <f t="shared" si="0"/>
        <v/>
      </c>
      <c r="N394" s="44" t="str">
        <f>IF(COUNTA(B394)&gt;0,C5,"")</f>
        <v/>
      </c>
      <c r="AO394" t="str">
        <f t="shared" si="7"/>
        <v/>
      </c>
    </row>
    <row r="395" spans="1:41" x14ac:dyDescent="0.2">
      <c r="A395" s="44" t="str">
        <f>IF(COUNTA(B395)&gt;0,387,"")</f>
        <v/>
      </c>
      <c r="G395" s="25" t="str">
        <f t="shared" si="0"/>
        <v/>
      </c>
      <c r="N395" s="44" t="str">
        <f>IF(COUNTA(B395)&gt;0,C5,"")</f>
        <v/>
      </c>
      <c r="AO395" t="str">
        <f t="shared" si="7"/>
        <v/>
      </c>
    </row>
    <row r="396" spans="1:41" x14ac:dyDescent="0.2">
      <c r="A396" s="44" t="str">
        <f>IF(COUNTA(B396)&gt;0,388,"")</f>
        <v/>
      </c>
      <c r="G396" s="25" t="str">
        <f t="shared" si="0"/>
        <v/>
      </c>
      <c r="N396" s="44" t="str">
        <f>IF(COUNTA(B396)&gt;0,C5,"")</f>
        <v/>
      </c>
      <c r="AO396" t="str">
        <f t="shared" si="7"/>
        <v/>
      </c>
    </row>
    <row r="397" spans="1:41" x14ac:dyDescent="0.2">
      <c r="A397" s="44" t="str">
        <f>IF(COUNTA(B397)&gt;0,389,"")</f>
        <v/>
      </c>
      <c r="G397" s="25" t="str">
        <f t="shared" si="0"/>
        <v/>
      </c>
      <c r="N397" s="44" t="str">
        <f>IF(COUNTA(B397)&gt;0,C5,"")</f>
        <v/>
      </c>
      <c r="AO397" t="str">
        <f t="shared" si="7"/>
        <v/>
      </c>
    </row>
    <row r="398" spans="1:41" x14ac:dyDescent="0.2">
      <c r="A398" s="44" t="str">
        <f>IF(COUNTA(B398)&gt;0,390,"")</f>
        <v/>
      </c>
      <c r="G398" s="25" t="str">
        <f t="shared" si="0"/>
        <v/>
      </c>
      <c r="N398" s="44" t="str">
        <f>IF(COUNTA(B398)&gt;0,C5,"")</f>
        <v/>
      </c>
      <c r="AO398" t="str">
        <f t="shared" si="7"/>
        <v/>
      </c>
    </row>
    <row r="399" spans="1:41" x14ac:dyDescent="0.2">
      <c r="A399" s="44" t="str">
        <f>IF(COUNTA(B399)&gt;0,391,"")</f>
        <v/>
      </c>
      <c r="G399" s="25" t="str">
        <f t="shared" si="0"/>
        <v/>
      </c>
      <c r="N399" s="44" t="str">
        <f>IF(COUNTA(B399)&gt;0,C5,"")</f>
        <v/>
      </c>
      <c r="AO399" t="str">
        <f t="shared" si="7"/>
        <v/>
      </c>
    </row>
    <row r="400" spans="1:41" x14ac:dyDescent="0.2">
      <c r="A400" s="44" t="str">
        <f>IF(COUNTA(B400)&gt;0,392,"")</f>
        <v/>
      </c>
      <c r="G400" s="25" t="str">
        <f t="shared" si="0"/>
        <v/>
      </c>
      <c r="N400" s="44" t="str">
        <f>IF(COUNTA(B400)&gt;0,C5,"")</f>
        <v/>
      </c>
      <c r="AO400" t="str">
        <f t="shared" si="7"/>
        <v/>
      </c>
    </row>
    <row r="401" spans="1:41" x14ac:dyDescent="0.2">
      <c r="A401" s="44" t="str">
        <f>IF(COUNTA(B401)&gt;0,393,"")</f>
        <v/>
      </c>
      <c r="G401" s="25" t="str">
        <f t="shared" si="0"/>
        <v/>
      </c>
      <c r="N401" s="44" t="str">
        <f>IF(COUNTA(B401)&gt;0,C5,"")</f>
        <v/>
      </c>
      <c r="AO401" t="str">
        <f t="shared" si="7"/>
        <v/>
      </c>
    </row>
    <row r="402" spans="1:41" x14ac:dyDescent="0.2">
      <c r="A402" s="44" t="str">
        <f>IF(COUNTA(B402)&gt;0,394,"")</f>
        <v/>
      </c>
      <c r="G402" s="25" t="str">
        <f t="shared" si="0"/>
        <v/>
      </c>
      <c r="N402" s="44" t="str">
        <f>IF(COUNTA(B402)&gt;0,C5,"")</f>
        <v/>
      </c>
      <c r="AO402" t="str">
        <f t="shared" si="7"/>
        <v/>
      </c>
    </row>
    <row r="403" spans="1:41" x14ac:dyDescent="0.2">
      <c r="A403" s="44" t="str">
        <f>IF(COUNTA(B403)&gt;0,395,"")</f>
        <v/>
      </c>
      <c r="G403" s="25" t="str">
        <f t="shared" si="0"/>
        <v/>
      </c>
      <c r="N403" s="44" t="str">
        <f>IF(COUNTA(B403)&gt;0,C5,"")</f>
        <v/>
      </c>
      <c r="AO403" t="str">
        <f t="shared" si="7"/>
        <v/>
      </c>
    </row>
    <row r="404" spans="1:41" x14ac:dyDescent="0.2">
      <c r="A404" s="44" t="str">
        <f>IF(COUNTA(B404)&gt;0,396,"")</f>
        <v/>
      </c>
      <c r="G404" s="25" t="str">
        <f t="shared" si="0"/>
        <v/>
      </c>
      <c r="N404" s="44" t="str">
        <f>IF(COUNTA(B404)&gt;0,C5,"")</f>
        <v/>
      </c>
      <c r="AO404" t="str">
        <f t="shared" si="7"/>
        <v/>
      </c>
    </row>
    <row r="405" spans="1:41" x14ac:dyDescent="0.2">
      <c r="A405" s="44" t="str">
        <f>IF(COUNTA(B405)&gt;0,397,"")</f>
        <v/>
      </c>
      <c r="G405" s="25" t="str">
        <f t="shared" si="0"/>
        <v/>
      </c>
      <c r="N405" s="44" t="str">
        <f>IF(COUNTA(B405)&gt;0,C5,"")</f>
        <v/>
      </c>
      <c r="AO405" t="str">
        <f t="shared" si="7"/>
        <v/>
      </c>
    </row>
    <row r="406" spans="1:41" x14ac:dyDescent="0.2">
      <c r="A406" s="44" t="str">
        <f>IF(COUNTA(B406)&gt;0,398,"")</f>
        <v/>
      </c>
      <c r="G406" s="25" t="str">
        <f t="shared" si="0"/>
        <v/>
      </c>
      <c r="N406" s="44" t="str">
        <f>IF(COUNTA(B406)&gt;0,C5,"")</f>
        <v/>
      </c>
      <c r="AO406" t="str">
        <f t="shared" si="7"/>
        <v/>
      </c>
    </row>
    <row r="407" spans="1:41" x14ac:dyDescent="0.2">
      <c r="A407" s="44" t="str">
        <f>IF(COUNTA(B407)&gt;0,399,"")</f>
        <v/>
      </c>
      <c r="G407" s="25" t="str">
        <f t="shared" si="0"/>
        <v/>
      </c>
      <c r="N407" s="44" t="str">
        <f>IF(COUNTA(B407)&gt;0,C5,"")</f>
        <v/>
      </c>
      <c r="AO407" t="str">
        <f t="shared" si="7"/>
        <v/>
      </c>
    </row>
    <row r="408" spans="1:41" x14ac:dyDescent="0.2">
      <c r="A408" s="44" t="str">
        <f>IF(COUNTA(B408)&gt;0,400,"")</f>
        <v/>
      </c>
      <c r="G408" s="25" t="str">
        <f t="shared" si="0"/>
        <v/>
      </c>
      <c r="N408" s="44" t="str">
        <f>IF(COUNTA(B408)&gt;0,C5,"")</f>
        <v/>
      </c>
      <c r="AO408" t="str">
        <f t="shared" si="7"/>
        <v/>
      </c>
    </row>
    <row r="409" spans="1:41" x14ac:dyDescent="0.2">
      <c r="A409" s="44" t="str">
        <f>IF(COUNTA(B409)&gt;0,401,"")</f>
        <v/>
      </c>
      <c r="G409" s="25" t="str">
        <f t="shared" si="0"/>
        <v/>
      </c>
      <c r="N409" s="44" t="str">
        <f>IF(COUNTA(B409)&gt;0,C5,"")</f>
        <v/>
      </c>
      <c r="AO409" t="str">
        <f t="shared" si="7"/>
        <v/>
      </c>
    </row>
    <row r="410" spans="1:41" x14ac:dyDescent="0.2">
      <c r="A410" s="44" t="str">
        <f>IF(COUNTA(B410)&gt;0,402,"")</f>
        <v/>
      </c>
      <c r="G410" s="25" t="str">
        <f t="shared" si="0"/>
        <v/>
      </c>
      <c r="N410" s="44" t="str">
        <f>IF(COUNTA(B410)&gt;0,C5,"")</f>
        <v/>
      </c>
      <c r="AO410" t="str">
        <f t="shared" si="7"/>
        <v/>
      </c>
    </row>
    <row r="411" spans="1:41" x14ac:dyDescent="0.2">
      <c r="A411" s="44" t="str">
        <f>IF(COUNTA(B411)&gt;0,403,"")</f>
        <v/>
      </c>
      <c r="G411" s="25" t="str">
        <f t="shared" si="0"/>
        <v/>
      </c>
      <c r="N411" s="44" t="str">
        <f>IF(COUNTA(B411)&gt;0,C5,"")</f>
        <v/>
      </c>
      <c r="AO411" t="str">
        <f t="shared" si="7"/>
        <v/>
      </c>
    </row>
    <row r="412" spans="1:41" x14ac:dyDescent="0.2">
      <c r="A412" s="44" t="str">
        <f>IF(COUNTA(B412)&gt;0,404,"")</f>
        <v/>
      </c>
      <c r="G412" s="25" t="str">
        <f t="shared" si="0"/>
        <v/>
      </c>
      <c r="N412" s="44" t="str">
        <f>IF(COUNTA(B412)&gt;0,C5,"")</f>
        <v/>
      </c>
      <c r="AO412" t="str">
        <f t="shared" si="7"/>
        <v/>
      </c>
    </row>
    <row r="413" spans="1:41" x14ac:dyDescent="0.2">
      <c r="A413" s="44" t="str">
        <f>IF(COUNTA(B413)&gt;0,405,"")</f>
        <v/>
      </c>
      <c r="G413" s="25" t="str">
        <f t="shared" si="0"/>
        <v/>
      </c>
      <c r="N413" s="44" t="str">
        <f>IF(COUNTA(B413)&gt;0,C5,"")</f>
        <v/>
      </c>
      <c r="AO413" t="str">
        <f t="shared" si="7"/>
        <v/>
      </c>
    </row>
    <row r="414" spans="1:41" x14ac:dyDescent="0.2">
      <c r="A414" s="44" t="str">
        <f>IF(COUNTA(B414)&gt;0,406,"")</f>
        <v/>
      </c>
      <c r="G414" s="25" t="str">
        <f t="shared" si="0"/>
        <v/>
      </c>
      <c r="N414" s="44" t="str">
        <f>IF(COUNTA(B414)&gt;0,C5,"")</f>
        <v/>
      </c>
      <c r="AO414" t="str">
        <f t="shared" si="7"/>
        <v/>
      </c>
    </row>
    <row r="415" spans="1:41" x14ac:dyDescent="0.2">
      <c r="A415" s="44" t="str">
        <f>IF(COUNTA(B415)&gt;0,407,"")</f>
        <v/>
      </c>
      <c r="G415" s="25" t="str">
        <f t="shared" si="0"/>
        <v/>
      </c>
      <c r="N415" s="44" t="str">
        <f>IF(COUNTA(B415)&gt;0,C5,"")</f>
        <v/>
      </c>
      <c r="AO415" t="str">
        <f t="shared" si="7"/>
        <v/>
      </c>
    </row>
    <row r="416" spans="1:41" x14ac:dyDescent="0.2">
      <c r="A416" s="44" t="str">
        <f>IF(COUNTA(B416)&gt;0,408,"")</f>
        <v/>
      </c>
      <c r="G416" s="25" t="str">
        <f t="shared" si="0"/>
        <v/>
      </c>
      <c r="N416" s="44" t="str">
        <f>IF(COUNTA(B416)&gt;0,C5,"")</f>
        <v/>
      </c>
      <c r="AO416" t="str">
        <f t="shared" si="7"/>
        <v/>
      </c>
    </row>
    <row r="417" spans="1:41" x14ac:dyDescent="0.2">
      <c r="A417" s="44" t="str">
        <f>IF(COUNTA(B417)&gt;0,409,"")</f>
        <v/>
      </c>
      <c r="G417" s="25" t="str">
        <f t="shared" si="0"/>
        <v/>
      </c>
      <c r="N417" s="44" t="str">
        <f>IF(COUNTA(B417)&gt;0,C5,"")</f>
        <v/>
      </c>
      <c r="AO417" t="str">
        <f t="shared" si="7"/>
        <v/>
      </c>
    </row>
    <row r="418" spans="1:41" x14ac:dyDescent="0.2">
      <c r="A418" s="44" t="str">
        <f>IF(COUNTA(B418)&gt;0,410,"")</f>
        <v/>
      </c>
      <c r="G418" s="25" t="str">
        <f t="shared" si="0"/>
        <v/>
      </c>
      <c r="N418" s="44" t="str">
        <f>IF(COUNTA(B418)&gt;0,C5,"")</f>
        <v/>
      </c>
      <c r="AO418" t="str">
        <f t="shared" si="7"/>
        <v/>
      </c>
    </row>
    <row r="419" spans="1:41" x14ac:dyDescent="0.2">
      <c r="A419" s="44" t="str">
        <f>IF(COUNTA(B419)&gt;0,411,"")</f>
        <v/>
      </c>
      <c r="G419" s="25" t="str">
        <f t="shared" si="0"/>
        <v/>
      </c>
      <c r="N419" s="44" t="str">
        <f>IF(COUNTA(B419)&gt;0,C5,"")</f>
        <v/>
      </c>
      <c r="AO419" t="str">
        <f t="shared" si="7"/>
        <v/>
      </c>
    </row>
    <row r="420" spans="1:41" x14ac:dyDescent="0.2">
      <c r="A420" s="44" t="str">
        <f>IF(COUNTA(B420)&gt;0,412,"")</f>
        <v/>
      </c>
      <c r="G420" s="25" t="str">
        <f t="shared" si="0"/>
        <v/>
      </c>
      <c r="N420" s="44" t="str">
        <f>IF(COUNTA(B420)&gt;0,C5,"")</f>
        <v/>
      </c>
      <c r="AO420" t="str">
        <f t="shared" si="7"/>
        <v/>
      </c>
    </row>
    <row r="421" spans="1:41" x14ac:dyDescent="0.2">
      <c r="A421" s="44" t="str">
        <f>IF(COUNTA(B421)&gt;0,413,"")</f>
        <v/>
      </c>
      <c r="G421" s="25" t="str">
        <f t="shared" si="0"/>
        <v/>
      </c>
      <c r="N421" s="44" t="str">
        <f>IF(COUNTA(B421)&gt;0,C5,"")</f>
        <v/>
      </c>
      <c r="AO421" t="str">
        <f t="shared" si="7"/>
        <v/>
      </c>
    </row>
    <row r="422" spans="1:41" x14ac:dyDescent="0.2">
      <c r="A422" s="44" t="str">
        <f>IF(COUNTA(B422)&gt;0,414,"")</f>
        <v/>
      </c>
      <c r="G422" s="25" t="str">
        <f t="shared" si="0"/>
        <v/>
      </c>
      <c r="N422" s="44" t="str">
        <f>IF(COUNTA(B422)&gt;0,C5,"")</f>
        <v/>
      </c>
      <c r="AO422" t="str">
        <f t="shared" si="7"/>
        <v/>
      </c>
    </row>
    <row r="423" spans="1:41" x14ac:dyDescent="0.2">
      <c r="A423" s="44" t="str">
        <f>IF(COUNTA(B423)&gt;0,415,"")</f>
        <v/>
      </c>
      <c r="G423" s="25" t="str">
        <f t="shared" si="0"/>
        <v/>
      </c>
      <c r="N423" s="44" t="str">
        <f>IF(COUNTA(B423)&gt;0,C5,"")</f>
        <v/>
      </c>
      <c r="AO423" t="str">
        <f t="shared" si="7"/>
        <v/>
      </c>
    </row>
    <row r="424" spans="1:41" x14ac:dyDescent="0.2">
      <c r="A424" s="44" t="str">
        <f>IF(COUNTA(B424)&gt;0,416,"")</f>
        <v/>
      </c>
      <c r="G424" s="25" t="str">
        <f t="shared" si="0"/>
        <v/>
      </c>
      <c r="N424" s="44" t="str">
        <f>IF(COUNTA(B424)&gt;0,C5,"")</f>
        <v/>
      </c>
      <c r="AO424" t="str">
        <f t="shared" si="7"/>
        <v/>
      </c>
    </row>
    <row r="425" spans="1:41" x14ac:dyDescent="0.2">
      <c r="A425" s="44" t="str">
        <f>IF(COUNTA(B425)&gt;0,417,"")</f>
        <v/>
      </c>
      <c r="G425" s="25" t="str">
        <f t="shared" si="0"/>
        <v/>
      </c>
      <c r="N425" s="44" t="str">
        <f>IF(COUNTA(B425)&gt;0,C5,"")</f>
        <v/>
      </c>
      <c r="AO425" t="str">
        <f t="shared" si="7"/>
        <v/>
      </c>
    </row>
    <row r="426" spans="1:41" x14ac:dyDescent="0.2">
      <c r="A426" s="44" t="str">
        <f>IF(COUNTA(B426)&gt;0,418,"")</f>
        <v/>
      </c>
      <c r="G426" s="25" t="str">
        <f t="shared" si="0"/>
        <v/>
      </c>
      <c r="N426" s="44" t="str">
        <f>IF(COUNTA(B426)&gt;0,C5,"")</f>
        <v/>
      </c>
      <c r="AO426" t="str">
        <f t="shared" si="7"/>
        <v/>
      </c>
    </row>
    <row r="427" spans="1:41" x14ac:dyDescent="0.2">
      <c r="A427" s="44" t="str">
        <f>IF(COUNTA(B427)&gt;0,419,"")</f>
        <v/>
      </c>
      <c r="G427" s="25" t="str">
        <f t="shared" si="0"/>
        <v/>
      </c>
      <c r="N427" s="44" t="str">
        <f>IF(COUNTA(B427)&gt;0,C5,"")</f>
        <v/>
      </c>
      <c r="AO427" t="str">
        <f t="shared" si="7"/>
        <v/>
      </c>
    </row>
    <row r="428" spans="1:41" x14ac:dyDescent="0.2">
      <c r="A428" s="44" t="str">
        <f>IF(COUNTA(B428)&gt;0,420,"")</f>
        <v/>
      </c>
      <c r="G428" s="25" t="str">
        <f t="shared" si="0"/>
        <v/>
      </c>
      <c r="N428" s="44" t="str">
        <f>IF(COUNTA(B428)&gt;0,C5,"")</f>
        <v/>
      </c>
      <c r="AO428" t="str">
        <f t="shared" si="7"/>
        <v/>
      </c>
    </row>
    <row r="429" spans="1:41" x14ac:dyDescent="0.2">
      <c r="A429" s="44" t="str">
        <f>IF(COUNTA(B429)&gt;0,421,"")</f>
        <v/>
      </c>
      <c r="G429" s="25" t="str">
        <f t="shared" si="0"/>
        <v/>
      </c>
      <c r="N429" s="44" t="str">
        <f>IF(COUNTA(B429)&gt;0,C5,"")</f>
        <v/>
      </c>
      <c r="AO429" t="str">
        <f t="shared" si="7"/>
        <v/>
      </c>
    </row>
    <row r="430" spans="1:41" x14ac:dyDescent="0.2">
      <c r="A430" s="44" t="str">
        <f>IF(COUNTA(B430)&gt;0,422,"")</f>
        <v/>
      </c>
      <c r="G430" s="25" t="str">
        <f t="shared" si="0"/>
        <v/>
      </c>
      <c r="N430" s="44" t="str">
        <f>IF(COUNTA(B430)&gt;0,C5,"")</f>
        <v/>
      </c>
      <c r="AO430" t="str">
        <f t="shared" si="7"/>
        <v/>
      </c>
    </row>
    <row r="431" spans="1:41" x14ac:dyDescent="0.2">
      <c r="A431" s="44" t="str">
        <f>IF(COUNTA(B431)&gt;0,423,"")</f>
        <v/>
      </c>
      <c r="G431" s="25" t="str">
        <f t="shared" si="0"/>
        <v/>
      </c>
      <c r="N431" s="44" t="str">
        <f>IF(COUNTA(B431)&gt;0,C5,"")</f>
        <v/>
      </c>
      <c r="AO431" t="str">
        <f t="shared" si="7"/>
        <v/>
      </c>
    </row>
    <row r="432" spans="1:41" x14ac:dyDescent="0.2">
      <c r="A432" s="44" t="str">
        <f>IF(COUNTA(B432)&gt;0,424,"")</f>
        <v/>
      </c>
      <c r="G432" s="25" t="str">
        <f t="shared" si="0"/>
        <v/>
      </c>
      <c r="N432" s="44" t="str">
        <f>IF(COUNTA(B432)&gt;0,C5,"")</f>
        <v/>
      </c>
      <c r="AO432" t="str">
        <f t="shared" si="7"/>
        <v/>
      </c>
    </row>
    <row r="433" spans="1:41" x14ac:dyDescent="0.2">
      <c r="A433" s="44" t="str">
        <f>IF(COUNTA(B433)&gt;0,425,"")</f>
        <v/>
      </c>
      <c r="G433" s="25" t="str">
        <f t="shared" si="0"/>
        <v/>
      </c>
      <c r="N433" s="44" t="str">
        <f>IF(COUNTA(B433)&gt;0,C5,"")</f>
        <v/>
      </c>
      <c r="AO433" t="str">
        <f t="shared" si="7"/>
        <v/>
      </c>
    </row>
    <row r="434" spans="1:41" x14ac:dyDescent="0.2">
      <c r="A434" s="44" t="str">
        <f>IF(COUNTA(B434)&gt;0,426,"")</f>
        <v/>
      </c>
      <c r="G434" s="25" t="str">
        <f t="shared" si="0"/>
        <v/>
      </c>
      <c r="N434" s="44" t="str">
        <f>IF(COUNTA(B434)&gt;0,C5,"")</f>
        <v/>
      </c>
      <c r="AO434" t="str">
        <f t="shared" si="7"/>
        <v/>
      </c>
    </row>
    <row r="435" spans="1:41" x14ac:dyDescent="0.2">
      <c r="A435" s="44" t="str">
        <f>IF(COUNTA(B435)&gt;0,427,"")</f>
        <v/>
      </c>
      <c r="G435" s="25" t="str">
        <f t="shared" si="0"/>
        <v/>
      </c>
      <c r="N435" s="44" t="str">
        <f>IF(COUNTA(B435)&gt;0,C5,"")</f>
        <v/>
      </c>
      <c r="AO435" t="str">
        <f t="shared" si="7"/>
        <v/>
      </c>
    </row>
    <row r="436" spans="1:41" x14ac:dyDescent="0.2">
      <c r="A436" s="44" t="str">
        <f>IF(COUNTA(B436)&gt;0,428,"")</f>
        <v/>
      </c>
      <c r="G436" s="25" t="str">
        <f t="shared" si="0"/>
        <v/>
      </c>
      <c r="N436" s="44" t="str">
        <f>IF(COUNTA(B436)&gt;0,C5,"")</f>
        <v/>
      </c>
      <c r="AO436" t="str">
        <f t="shared" si="7"/>
        <v/>
      </c>
    </row>
    <row r="437" spans="1:41" x14ac:dyDescent="0.2">
      <c r="A437" s="44" t="str">
        <f>IF(COUNTA(B437)&gt;0,429,"")</f>
        <v/>
      </c>
      <c r="G437" s="25" t="str">
        <f t="shared" si="0"/>
        <v/>
      </c>
      <c r="N437" s="44" t="str">
        <f>IF(COUNTA(B437)&gt;0,C5,"")</f>
        <v/>
      </c>
      <c r="AO437" t="str">
        <f t="shared" si="7"/>
        <v/>
      </c>
    </row>
    <row r="438" spans="1:41" x14ac:dyDescent="0.2">
      <c r="A438" s="44" t="str">
        <f>IF(COUNTA(B438)&gt;0,430,"")</f>
        <v/>
      </c>
      <c r="G438" s="25" t="str">
        <f t="shared" si="0"/>
        <v/>
      </c>
      <c r="N438" s="44" t="str">
        <f>IF(COUNTA(B438)&gt;0,C5,"")</f>
        <v/>
      </c>
      <c r="AO438" t="str">
        <f t="shared" si="7"/>
        <v/>
      </c>
    </row>
    <row r="439" spans="1:41" x14ac:dyDescent="0.2">
      <c r="A439" s="44" t="str">
        <f>IF(COUNTA(B439)&gt;0,431,"")</f>
        <v/>
      </c>
      <c r="G439" s="25" t="str">
        <f t="shared" si="0"/>
        <v/>
      </c>
      <c r="N439" s="44" t="str">
        <f>IF(COUNTA(B439)&gt;0,C5,"")</f>
        <v/>
      </c>
      <c r="AO439" t="str">
        <f t="shared" si="7"/>
        <v/>
      </c>
    </row>
    <row r="440" spans="1:41" x14ac:dyDescent="0.2">
      <c r="A440" s="44" t="str">
        <f>IF(COUNTA(B440)&gt;0,432,"")</f>
        <v/>
      </c>
      <c r="G440" s="25" t="str">
        <f t="shared" si="0"/>
        <v/>
      </c>
      <c r="N440" s="44" t="str">
        <f>IF(COUNTA(B440)&gt;0,C5,"")</f>
        <v/>
      </c>
      <c r="AO440" t="str">
        <f t="shared" si="7"/>
        <v/>
      </c>
    </row>
    <row r="441" spans="1:41" x14ac:dyDescent="0.2">
      <c r="A441" s="44" t="str">
        <f>IF(COUNTA(B441)&gt;0,433,"")</f>
        <v/>
      </c>
      <c r="G441" s="25" t="str">
        <f t="shared" si="0"/>
        <v/>
      </c>
      <c r="N441" s="44" t="str">
        <f>IF(COUNTA(B441)&gt;0,C5,"")</f>
        <v/>
      </c>
      <c r="AO441" t="str">
        <f t="shared" si="7"/>
        <v/>
      </c>
    </row>
    <row r="442" spans="1:41" x14ac:dyDescent="0.2">
      <c r="A442" s="44" t="str">
        <f>IF(COUNTA(B442)&gt;0,434,"")</f>
        <v/>
      </c>
      <c r="G442" s="25" t="str">
        <f t="shared" si="0"/>
        <v/>
      </c>
      <c r="N442" s="44" t="str">
        <f>IF(COUNTA(B442)&gt;0,C5,"")</f>
        <v/>
      </c>
      <c r="AO442" t="str">
        <f t="shared" si="7"/>
        <v/>
      </c>
    </row>
    <row r="443" spans="1:41" x14ac:dyDescent="0.2">
      <c r="A443" s="44" t="str">
        <f>IF(COUNTA(B443)&gt;0,435,"")</f>
        <v/>
      </c>
      <c r="G443" s="25" t="str">
        <f t="shared" si="0"/>
        <v/>
      </c>
      <c r="N443" s="44" t="str">
        <f>IF(COUNTA(B443)&gt;0,C5,"")</f>
        <v/>
      </c>
      <c r="AO443" t="str">
        <f t="shared" si="7"/>
        <v/>
      </c>
    </row>
    <row r="444" spans="1:41" x14ac:dyDescent="0.2">
      <c r="A444" s="44" t="str">
        <f>IF(COUNTA(B444)&gt;0,436,"")</f>
        <v/>
      </c>
      <c r="G444" s="25" t="str">
        <f t="shared" si="0"/>
        <v/>
      </c>
      <c r="N444" s="44" t="str">
        <f>IF(COUNTA(B444)&gt;0,C5,"")</f>
        <v/>
      </c>
      <c r="AO444" t="str">
        <f t="shared" si="7"/>
        <v/>
      </c>
    </row>
    <row r="445" spans="1:41" x14ac:dyDescent="0.2">
      <c r="A445" s="44" t="str">
        <f>IF(COUNTA(B445)&gt;0,437,"")</f>
        <v/>
      </c>
      <c r="G445" s="25" t="str">
        <f t="shared" si="0"/>
        <v/>
      </c>
      <c r="N445" s="44" t="str">
        <f>IF(COUNTA(B445)&gt;0,C5,"")</f>
        <v/>
      </c>
      <c r="AO445" t="str">
        <f t="shared" si="7"/>
        <v/>
      </c>
    </row>
    <row r="446" spans="1:41" x14ac:dyDescent="0.2">
      <c r="A446" s="44" t="str">
        <f>IF(COUNTA(B446)&gt;0,438,"")</f>
        <v/>
      </c>
      <c r="G446" s="25" t="str">
        <f t="shared" si="0"/>
        <v/>
      </c>
      <c r="N446" s="44" t="str">
        <f>IF(COUNTA(B446)&gt;0,C5,"")</f>
        <v/>
      </c>
      <c r="AO446" t="str">
        <f t="shared" si="7"/>
        <v/>
      </c>
    </row>
    <row r="447" spans="1:41" x14ac:dyDescent="0.2">
      <c r="A447" s="44" t="str">
        <f>IF(COUNTA(B447)&gt;0,439,"")</f>
        <v/>
      </c>
      <c r="G447" s="25" t="str">
        <f t="shared" si="0"/>
        <v/>
      </c>
      <c r="N447" s="44" t="str">
        <f>IF(COUNTA(B447)&gt;0,C5,"")</f>
        <v/>
      </c>
      <c r="AO447" t="str">
        <f t="shared" si="7"/>
        <v/>
      </c>
    </row>
    <row r="448" spans="1:41" x14ac:dyDescent="0.2">
      <c r="A448" s="44" t="str">
        <f>IF(COUNTA(B448)&gt;0,440,"")</f>
        <v/>
      </c>
      <c r="G448" s="25" t="str">
        <f t="shared" si="0"/>
        <v/>
      </c>
      <c r="N448" s="44" t="str">
        <f>IF(COUNTA(B448)&gt;0,C5,"")</f>
        <v/>
      </c>
      <c r="AO448" t="str">
        <f t="shared" si="7"/>
        <v/>
      </c>
    </row>
    <row r="449" spans="1:41" x14ac:dyDescent="0.2">
      <c r="A449" s="44" t="str">
        <f>IF(COUNTA(B449)&gt;0,441,"")</f>
        <v/>
      </c>
      <c r="G449" s="25" t="str">
        <f t="shared" si="0"/>
        <v/>
      </c>
      <c r="N449" s="44" t="str">
        <f>IF(COUNTA(B449)&gt;0,C5,"")</f>
        <v/>
      </c>
      <c r="AO449" t="str">
        <f t="shared" si="7"/>
        <v/>
      </c>
    </row>
    <row r="450" spans="1:41" x14ac:dyDescent="0.2">
      <c r="A450" s="44" t="str">
        <f>IF(COUNTA(B450)&gt;0,442,"")</f>
        <v/>
      </c>
      <c r="G450" s="25" t="str">
        <f t="shared" si="0"/>
        <v/>
      </c>
      <c r="N450" s="44" t="str">
        <f>IF(COUNTA(B450)&gt;0,C5,"")</f>
        <v/>
      </c>
      <c r="AO450" t="str">
        <f t="shared" si="7"/>
        <v/>
      </c>
    </row>
    <row r="451" spans="1:41" x14ac:dyDescent="0.2">
      <c r="A451" s="44" t="str">
        <f>IF(COUNTA(B451)&gt;0,443,"")</f>
        <v/>
      </c>
      <c r="G451" s="25" t="str">
        <f t="shared" si="0"/>
        <v/>
      </c>
      <c r="N451" s="44" t="str">
        <f>IF(COUNTA(B451)&gt;0,C5,"")</f>
        <v/>
      </c>
      <c r="AO451" t="str">
        <f t="shared" si="7"/>
        <v/>
      </c>
    </row>
    <row r="452" spans="1:41" x14ac:dyDescent="0.2">
      <c r="A452" s="44" t="str">
        <f>IF(COUNTA(B452)&gt;0,444,"")</f>
        <v/>
      </c>
      <c r="G452" s="25" t="str">
        <f t="shared" si="0"/>
        <v/>
      </c>
      <c r="N452" s="44" t="str">
        <f>IF(COUNTA(B452)&gt;0,C5,"")</f>
        <v/>
      </c>
      <c r="AO452" t="str">
        <f t="shared" si="7"/>
        <v/>
      </c>
    </row>
    <row r="453" spans="1:41" x14ac:dyDescent="0.2">
      <c r="A453" s="44" t="str">
        <f>IF(COUNTA(B453)&gt;0,445,"")</f>
        <v/>
      </c>
      <c r="G453" s="25" t="str">
        <f t="shared" si="0"/>
        <v/>
      </c>
      <c r="N453" s="44" t="str">
        <f>IF(COUNTA(B453)&gt;0,C5,"")</f>
        <v/>
      </c>
      <c r="AO453" t="str">
        <f t="shared" si="7"/>
        <v/>
      </c>
    </row>
    <row r="454" spans="1:41" x14ac:dyDescent="0.2">
      <c r="A454" s="44" t="str">
        <f>IF(COUNTA(B454)&gt;0,446,"")</f>
        <v/>
      </c>
      <c r="G454" s="25" t="str">
        <f t="shared" si="0"/>
        <v/>
      </c>
      <c r="N454" s="44" t="str">
        <f>IF(COUNTA(B454)&gt;0,C5,"")</f>
        <v/>
      </c>
      <c r="AO454" t="str">
        <f t="shared" si="7"/>
        <v/>
      </c>
    </row>
    <row r="455" spans="1:41" x14ac:dyDescent="0.2">
      <c r="A455" s="44" t="str">
        <f>IF(COUNTA(B455)&gt;0,447,"")</f>
        <v/>
      </c>
      <c r="G455" s="25" t="str">
        <f t="shared" si="0"/>
        <v/>
      </c>
      <c r="N455" s="44" t="str">
        <f>IF(COUNTA(B455)&gt;0,C5,"")</f>
        <v/>
      </c>
      <c r="AO455" t="str">
        <f t="shared" si="7"/>
        <v/>
      </c>
    </row>
    <row r="456" spans="1:41" x14ac:dyDescent="0.2">
      <c r="A456" s="44" t="str">
        <f>IF(COUNTA(B456)&gt;0,448,"")</f>
        <v/>
      </c>
      <c r="G456" s="25" t="str">
        <f t="shared" si="0"/>
        <v/>
      </c>
      <c r="N456" s="44" t="str">
        <f>IF(COUNTA(B456)&gt;0,C5,"")</f>
        <v/>
      </c>
      <c r="AO456" t="str">
        <f t="shared" si="7"/>
        <v/>
      </c>
    </row>
    <row r="457" spans="1:41" x14ac:dyDescent="0.2">
      <c r="A457" s="44" t="str">
        <f>IF(COUNTA(B457)&gt;0,449,"")</f>
        <v/>
      </c>
      <c r="G457" s="25" t="str">
        <f t="shared" si="0"/>
        <v/>
      </c>
      <c r="N457" s="44" t="str">
        <f>IF(COUNTA(B457)&gt;0,C5,"")</f>
        <v/>
      </c>
      <c r="AO457" t="str">
        <f t="shared" ref="AO457:AO520" si="8">IF(COUNTA(L457:M457)&lt;&gt;0,"Có",IF(COUNTA(B457)&gt;0,"Không",""))</f>
        <v/>
      </c>
    </row>
    <row r="458" spans="1:41" x14ac:dyDescent="0.2">
      <c r="A458" s="44" t="str">
        <f>IF(COUNTA(B458)&gt;0,450,"")</f>
        <v/>
      </c>
      <c r="G458" s="25" t="str">
        <f t="shared" si="0"/>
        <v/>
      </c>
      <c r="N458" s="44" t="str">
        <f>IF(COUNTA(B458)&gt;0,C5,"")</f>
        <v/>
      </c>
      <c r="AO458" t="str">
        <f t="shared" si="8"/>
        <v/>
      </c>
    </row>
    <row r="459" spans="1:41" x14ac:dyDescent="0.2">
      <c r="A459" s="44" t="str">
        <f>IF(COUNTA(B459)&gt;0,451,"")</f>
        <v/>
      </c>
      <c r="G459" s="25" t="str">
        <f t="shared" si="0"/>
        <v/>
      </c>
      <c r="N459" s="44" t="str">
        <f>IF(COUNTA(B459)&gt;0,C5,"")</f>
        <v/>
      </c>
      <c r="AO459" t="str">
        <f t="shared" si="8"/>
        <v/>
      </c>
    </row>
    <row r="460" spans="1:41" x14ac:dyDescent="0.2">
      <c r="A460" s="44" t="str">
        <f>IF(COUNTA(B460)&gt;0,452,"")</f>
        <v/>
      </c>
      <c r="G460" s="25" t="str">
        <f t="shared" si="0"/>
        <v/>
      </c>
      <c r="N460" s="44" t="str">
        <f>IF(COUNTA(B460)&gt;0,C5,"")</f>
        <v/>
      </c>
      <c r="AO460" t="str">
        <f t="shared" si="8"/>
        <v/>
      </c>
    </row>
    <row r="461" spans="1:41" x14ac:dyDescent="0.2">
      <c r="A461" s="44" t="str">
        <f>IF(COUNTA(B461)&gt;0,453,"")</f>
        <v/>
      </c>
      <c r="G461" s="25" t="str">
        <f t="shared" si="0"/>
        <v/>
      </c>
      <c r="N461" s="44" t="str">
        <f>IF(COUNTA(B461)&gt;0,C5,"")</f>
        <v/>
      </c>
      <c r="AO461" t="str">
        <f t="shared" si="8"/>
        <v/>
      </c>
    </row>
    <row r="462" spans="1:41" x14ac:dyDescent="0.2">
      <c r="A462" s="44" t="str">
        <f>IF(COUNTA(B462)&gt;0,454,"")</f>
        <v/>
      </c>
      <c r="G462" s="25" t="str">
        <f t="shared" si="0"/>
        <v/>
      </c>
      <c r="N462" s="44" t="str">
        <f>IF(COUNTA(B462)&gt;0,C5,"")</f>
        <v/>
      </c>
      <c r="AO462" t="str">
        <f t="shared" si="8"/>
        <v/>
      </c>
    </row>
    <row r="463" spans="1:41" x14ac:dyDescent="0.2">
      <c r="A463" s="44" t="str">
        <f>IF(COUNTA(B463)&gt;0,455,"")</f>
        <v/>
      </c>
      <c r="G463" s="25" t="str">
        <f t="shared" si="0"/>
        <v/>
      </c>
      <c r="N463" s="44" t="str">
        <f>IF(COUNTA(B463)&gt;0,C5,"")</f>
        <v/>
      </c>
      <c r="AO463" t="str">
        <f t="shared" si="8"/>
        <v/>
      </c>
    </row>
    <row r="464" spans="1:41" x14ac:dyDescent="0.2">
      <c r="A464" s="44" t="str">
        <f>IF(COUNTA(B464)&gt;0,456,"")</f>
        <v/>
      </c>
      <c r="G464" s="25" t="str">
        <f t="shared" si="0"/>
        <v/>
      </c>
      <c r="N464" s="44" t="str">
        <f>IF(COUNTA(B464)&gt;0,C5,"")</f>
        <v/>
      </c>
      <c r="AO464" t="str">
        <f t="shared" si="8"/>
        <v/>
      </c>
    </row>
    <row r="465" spans="1:41" x14ac:dyDescent="0.2">
      <c r="A465" s="44" t="str">
        <f>IF(COUNTA(B465)&gt;0,457,"")</f>
        <v/>
      </c>
      <c r="G465" s="25" t="str">
        <f t="shared" si="0"/>
        <v/>
      </c>
      <c r="N465" s="44" t="str">
        <f>IF(COUNTA(B465)&gt;0,C5,"")</f>
        <v/>
      </c>
      <c r="AO465" t="str">
        <f t="shared" si="8"/>
        <v/>
      </c>
    </row>
    <row r="466" spans="1:41" x14ac:dyDescent="0.2">
      <c r="A466" s="44" t="str">
        <f>IF(COUNTA(B466)&gt;0,458,"")</f>
        <v/>
      </c>
      <c r="G466" s="25" t="str">
        <f t="shared" si="0"/>
        <v/>
      </c>
      <c r="N466" s="44" t="str">
        <f>IF(COUNTA(B466)&gt;0,C5,"")</f>
        <v/>
      </c>
      <c r="AO466" t="str">
        <f t="shared" si="8"/>
        <v/>
      </c>
    </row>
    <row r="467" spans="1:41" x14ac:dyDescent="0.2">
      <c r="A467" s="44" t="str">
        <f>IF(COUNTA(B467)&gt;0,459,"")</f>
        <v/>
      </c>
      <c r="G467" s="25" t="str">
        <f t="shared" si="0"/>
        <v/>
      </c>
      <c r="N467" s="44" t="str">
        <f>IF(COUNTA(B467)&gt;0,C5,"")</f>
        <v/>
      </c>
      <c r="AO467" t="str">
        <f t="shared" si="8"/>
        <v/>
      </c>
    </row>
    <row r="468" spans="1:41" x14ac:dyDescent="0.2">
      <c r="A468" s="44" t="str">
        <f>IF(COUNTA(B468)&gt;0,460,"")</f>
        <v/>
      </c>
      <c r="G468" s="25" t="str">
        <f t="shared" si="0"/>
        <v/>
      </c>
      <c r="N468" s="44" t="str">
        <f>IF(COUNTA(B468)&gt;0,C5,"")</f>
        <v/>
      </c>
      <c r="AO468" t="str">
        <f t="shared" si="8"/>
        <v/>
      </c>
    </row>
    <row r="469" spans="1:41" x14ac:dyDescent="0.2">
      <c r="A469" s="44" t="str">
        <f>IF(COUNTA(B469)&gt;0,461,"")</f>
        <v/>
      </c>
      <c r="G469" s="25" t="str">
        <f t="shared" si="0"/>
        <v/>
      </c>
      <c r="N469" s="44" t="str">
        <f>IF(COUNTA(B469)&gt;0,C5,"")</f>
        <v/>
      </c>
      <c r="AO469" t="str">
        <f t="shared" si="8"/>
        <v/>
      </c>
    </row>
    <row r="470" spans="1:41" x14ac:dyDescent="0.2">
      <c r="A470" s="44" t="str">
        <f>IF(COUNTA(B470)&gt;0,462,"")</f>
        <v/>
      </c>
      <c r="G470" s="25" t="str">
        <f t="shared" si="0"/>
        <v/>
      </c>
      <c r="N470" s="44" t="str">
        <f>IF(COUNTA(B470)&gt;0,C5,"")</f>
        <v/>
      </c>
      <c r="AO470" t="str">
        <f t="shared" si="8"/>
        <v/>
      </c>
    </row>
    <row r="471" spans="1:41" x14ac:dyDescent="0.2">
      <c r="A471" s="44" t="str">
        <f>IF(COUNTA(B471)&gt;0,463,"")</f>
        <v/>
      </c>
      <c r="G471" s="25" t="str">
        <f t="shared" si="0"/>
        <v/>
      </c>
      <c r="N471" s="44" t="str">
        <f>IF(COUNTA(B471)&gt;0,C5,"")</f>
        <v/>
      </c>
      <c r="AO471" t="str">
        <f t="shared" si="8"/>
        <v/>
      </c>
    </row>
    <row r="472" spans="1:41" x14ac:dyDescent="0.2">
      <c r="A472" s="44" t="str">
        <f>IF(COUNTA(B472)&gt;0,464,"")</f>
        <v/>
      </c>
      <c r="G472" s="25" t="str">
        <f t="shared" si="0"/>
        <v/>
      </c>
      <c r="N472" s="44" t="str">
        <f>IF(COUNTA(B472)&gt;0,C5,"")</f>
        <v/>
      </c>
      <c r="AO472" t="str">
        <f t="shared" si="8"/>
        <v/>
      </c>
    </row>
    <row r="473" spans="1:41" x14ac:dyDescent="0.2">
      <c r="A473" s="44" t="str">
        <f>IF(COUNTA(B473)&gt;0,465,"")</f>
        <v/>
      </c>
      <c r="G473" s="25" t="str">
        <f t="shared" si="0"/>
        <v/>
      </c>
      <c r="N473" s="44" t="str">
        <f>IF(COUNTA(B473)&gt;0,C5,"")</f>
        <v/>
      </c>
      <c r="AO473" t="str">
        <f t="shared" si="8"/>
        <v/>
      </c>
    </row>
    <row r="474" spans="1:41" x14ac:dyDescent="0.2">
      <c r="A474" s="44" t="str">
        <f>IF(COUNTA(B474)&gt;0,466,"")</f>
        <v/>
      </c>
      <c r="G474" s="25" t="str">
        <f t="shared" si="0"/>
        <v/>
      </c>
      <c r="N474" s="44" t="str">
        <f>IF(COUNTA(B474)&gt;0,C5,"")</f>
        <v/>
      </c>
      <c r="AO474" t="str">
        <f t="shared" si="8"/>
        <v/>
      </c>
    </row>
    <row r="475" spans="1:41" x14ac:dyDescent="0.2">
      <c r="A475" s="44" t="str">
        <f>IF(COUNTA(B475)&gt;0,467,"")</f>
        <v/>
      </c>
      <c r="G475" s="25" t="str">
        <f t="shared" si="0"/>
        <v/>
      </c>
      <c r="N475" s="44" t="str">
        <f>IF(COUNTA(B475)&gt;0,C5,"")</f>
        <v/>
      </c>
      <c r="AO475" t="str">
        <f t="shared" si="8"/>
        <v/>
      </c>
    </row>
    <row r="476" spans="1:41" x14ac:dyDescent="0.2">
      <c r="A476" s="44" t="str">
        <f>IF(COUNTA(B476)&gt;0,468,"")</f>
        <v/>
      </c>
      <c r="G476" s="25" t="str">
        <f t="shared" si="0"/>
        <v/>
      </c>
      <c r="N476" s="44" t="str">
        <f>IF(COUNTA(B476)&gt;0,C5,"")</f>
        <v/>
      </c>
      <c r="AO476" t="str">
        <f t="shared" si="8"/>
        <v/>
      </c>
    </row>
    <row r="477" spans="1:41" x14ac:dyDescent="0.2">
      <c r="A477" s="44" t="str">
        <f>IF(COUNTA(B477)&gt;0,469,"")</f>
        <v/>
      </c>
      <c r="G477" s="25" t="str">
        <f t="shared" si="0"/>
        <v/>
      </c>
      <c r="N477" s="44" t="str">
        <f>IF(COUNTA(B477)&gt;0,C5,"")</f>
        <v/>
      </c>
      <c r="AO477" t="str">
        <f t="shared" si="8"/>
        <v/>
      </c>
    </row>
    <row r="478" spans="1:41" x14ac:dyDescent="0.2">
      <c r="A478" s="44" t="str">
        <f>IF(COUNTA(B478)&gt;0,470,"")</f>
        <v/>
      </c>
      <c r="G478" s="25" t="str">
        <f t="shared" si="0"/>
        <v/>
      </c>
      <c r="N478" s="44" t="str">
        <f>IF(COUNTA(B478)&gt;0,C5,"")</f>
        <v/>
      </c>
      <c r="AO478" t="str">
        <f t="shared" si="8"/>
        <v/>
      </c>
    </row>
    <row r="479" spans="1:41" x14ac:dyDescent="0.2">
      <c r="A479" s="44" t="str">
        <f>IF(COUNTA(B479)&gt;0,471,"")</f>
        <v/>
      </c>
      <c r="G479" s="25" t="str">
        <f t="shared" si="0"/>
        <v/>
      </c>
      <c r="N479" s="44" t="str">
        <f>IF(COUNTA(B479)&gt;0,C5,"")</f>
        <v/>
      </c>
      <c r="AO479" t="str">
        <f t="shared" si="8"/>
        <v/>
      </c>
    </row>
    <row r="480" spans="1:41" x14ac:dyDescent="0.2">
      <c r="A480" s="44" t="str">
        <f>IF(COUNTA(B480)&gt;0,472,"")</f>
        <v/>
      </c>
      <c r="G480" s="25" t="str">
        <f t="shared" si="0"/>
        <v/>
      </c>
      <c r="N480" s="44" t="str">
        <f>IF(COUNTA(B480)&gt;0,C5,"")</f>
        <v/>
      </c>
      <c r="AO480" t="str">
        <f t="shared" si="8"/>
        <v/>
      </c>
    </row>
    <row r="481" spans="1:41" x14ac:dyDescent="0.2">
      <c r="A481" s="44" t="str">
        <f>IF(COUNTA(B481)&gt;0,473,"")</f>
        <v/>
      </c>
      <c r="G481" s="25" t="str">
        <f t="shared" si="0"/>
        <v/>
      </c>
      <c r="N481" s="44" t="str">
        <f>IF(COUNTA(B481)&gt;0,C5,"")</f>
        <v/>
      </c>
      <c r="AO481" t="str">
        <f t="shared" si="8"/>
        <v/>
      </c>
    </row>
    <row r="482" spans="1:41" x14ac:dyDescent="0.2">
      <c r="A482" s="44" t="str">
        <f>IF(COUNTA(B482)&gt;0,474,"")</f>
        <v/>
      </c>
      <c r="G482" s="25" t="str">
        <f t="shared" si="0"/>
        <v/>
      </c>
      <c r="N482" s="44" t="str">
        <f>IF(COUNTA(B482)&gt;0,C5,"")</f>
        <v/>
      </c>
      <c r="AO482" t="str">
        <f t="shared" si="8"/>
        <v/>
      </c>
    </row>
    <row r="483" spans="1:41" x14ac:dyDescent="0.2">
      <c r="A483" s="44" t="str">
        <f>IF(COUNTA(B483)&gt;0,475,"")</f>
        <v/>
      </c>
      <c r="G483" s="25" t="str">
        <f t="shared" si="0"/>
        <v/>
      </c>
      <c r="N483" s="44" t="str">
        <f>IF(COUNTA(B483)&gt;0,C5,"")</f>
        <v/>
      </c>
      <c r="AO483" t="str">
        <f t="shared" si="8"/>
        <v/>
      </c>
    </row>
    <row r="484" spans="1:41" x14ac:dyDescent="0.2">
      <c r="A484" s="44" t="str">
        <f>IF(COUNTA(B484)&gt;0,476,"")</f>
        <v/>
      </c>
      <c r="G484" s="25" t="str">
        <f t="shared" si="0"/>
        <v/>
      </c>
      <c r="N484" s="44" t="str">
        <f>IF(COUNTA(B484)&gt;0,C5,"")</f>
        <v/>
      </c>
      <c r="AO484" t="str">
        <f t="shared" si="8"/>
        <v/>
      </c>
    </row>
    <row r="485" spans="1:41" x14ac:dyDescent="0.2">
      <c r="A485" s="44" t="str">
        <f>IF(COUNTA(B485)&gt;0,477,"")</f>
        <v/>
      </c>
      <c r="G485" s="25" t="str">
        <f t="shared" si="0"/>
        <v/>
      </c>
      <c r="N485" s="44" t="str">
        <f>IF(COUNTA(B485)&gt;0,C5,"")</f>
        <v/>
      </c>
      <c r="AO485" t="str">
        <f t="shared" si="8"/>
        <v/>
      </c>
    </row>
    <row r="486" spans="1:41" x14ac:dyDescent="0.2">
      <c r="A486" s="44" t="str">
        <f>IF(COUNTA(B486)&gt;0,478,"")</f>
        <v/>
      </c>
      <c r="G486" s="25" t="str">
        <f t="shared" si="0"/>
        <v/>
      </c>
      <c r="N486" s="44" t="str">
        <f>IF(COUNTA(B486)&gt;0,C5,"")</f>
        <v/>
      </c>
      <c r="AO486" t="str">
        <f t="shared" si="8"/>
        <v/>
      </c>
    </row>
    <row r="487" spans="1:41" x14ac:dyDescent="0.2">
      <c r="A487" s="44" t="str">
        <f>IF(COUNTA(B487)&gt;0,479,"")</f>
        <v/>
      </c>
      <c r="G487" s="25" t="str">
        <f t="shared" si="0"/>
        <v/>
      </c>
      <c r="N487" s="44" t="str">
        <f>IF(COUNTA(B487)&gt;0,C5,"")</f>
        <v/>
      </c>
      <c r="AO487" t="str">
        <f t="shared" si="8"/>
        <v/>
      </c>
    </row>
    <row r="488" spans="1:41" x14ac:dyDescent="0.2">
      <c r="A488" s="44" t="str">
        <f>IF(COUNTA(B488)&gt;0,480,"")</f>
        <v/>
      </c>
      <c r="G488" s="25" t="str">
        <f t="shared" si="0"/>
        <v/>
      </c>
      <c r="N488" s="44" t="str">
        <f>IF(COUNTA(B488)&gt;0,C5,"")</f>
        <v/>
      </c>
      <c r="AO488" t="str">
        <f t="shared" si="8"/>
        <v/>
      </c>
    </row>
    <row r="489" spans="1:41" x14ac:dyDescent="0.2">
      <c r="A489" s="44" t="str">
        <f>IF(COUNTA(B489)&gt;0,481,"")</f>
        <v/>
      </c>
      <c r="G489" s="25" t="str">
        <f t="shared" si="0"/>
        <v/>
      </c>
      <c r="N489" s="44" t="str">
        <f>IF(COUNTA(B489)&gt;0,C5,"")</f>
        <v/>
      </c>
      <c r="AO489" t="str">
        <f t="shared" si="8"/>
        <v/>
      </c>
    </row>
    <row r="490" spans="1:41" x14ac:dyDescent="0.2">
      <c r="A490" s="44" t="str">
        <f>IF(COUNTA(B490)&gt;0,482,"")</f>
        <v/>
      </c>
      <c r="G490" s="25" t="str">
        <f t="shared" si="0"/>
        <v/>
      </c>
      <c r="N490" s="44" t="str">
        <f>IF(COUNTA(B490)&gt;0,C5,"")</f>
        <v/>
      </c>
      <c r="AO490" t="str">
        <f t="shared" si="8"/>
        <v/>
      </c>
    </row>
    <row r="491" spans="1:41" x14ac:dyDescent="0.2">
      <c r="A491" s="44" t="str">
        <f>IF(COUNTA(B491)&gt;0,483,"")</f>
        <v/>
      </c>
      <c r="G491" s="25" t="str">
        <f t="shared" si="0"/>
        <v/>
      </c>
      <c r="N491" s="44" t="str">
        <f>IF(COUNTA(B491)&gt;0,C5,"")</f>
        <v/>
      </c>
      <c r="AO491" t="str">
        <f t="shared" si="8"/>
        <v/>
      </c>
    </row>
    <row r="492" spans="1:41" x14ac:dyDescent="0.2">
      <c r="A492" s="44" t="str">
        <f>IF(COUNTA(B492)&gt;0,484,"")</f>
        <v/>
      </c>
      <c r="G492" s="25" t="str">
        <f t="shared" si="0"/>
        <v/>
      </c>
      <c r="N492" s="44" t="str">
        <f>IF(COUNTA(B492)&gt;0,C5,"")</f>
        <v/>
      </c>
      <c r="AO492" t="str">
        <f t="shared" si="8"/>
        <v/>
      </c>
    </row>
    <row r="493" spans="1:41" x14ac:dyDescent="0.2">
      <c r="A493" s="44" t="str">
        <f>IF(COUNTA(B493)&gt;0,485,"")</f>
        <v/>
      </c>
      <c r="G493" s="25" t="str">
        <f t="shared" si="0"/>
        <v/>
      </c>
      <c r="N493" s="44" t="str">
        <f>IF(COUNTA(B493)&gt;0,C5,"")</f>
        <v/>
      </c>
      <c r="AO493" t="str">
        <f t="shared" si="8"/>
        <v/>
      </c>
    </row>
    <row r="494" spans="1:41" x14ac:dyDescent="0.2">
      <c r="A494" s="44" t="str">
        <f>IF(COUNTA(B494)&gt;0,486,"")</f>
        <v/>
      </c>
      <c r="G494" s="25" t="str">
        <f t="shared" si="0"/>
        <v/>
      </c>
      <c r="N494" s="44" t="str">
        <f>IF(COUNTA(B494)&gt;0,C5,"")</f>
        <v/>
      </c>
      <c r="AO494" t="str">
        <f t="shared" si="8"/>
        <v/>
      </c>
    </row>
    <row r="495" spans="1:41" x14ac:dyDescent="0.2">
      <c r="A495" s="44" t="str">
        <f>IF(COUNTA(B495)&gt;0,487,"")</f>
        <v/>
      </c>
      <c r="G495" s="25" t="str">
        <f t="shared" si="0"/>
        <v/>
      </c>
      <c r="N495" s="44" t="str">
        <f>IF(COUNTA(B495)&gt;0,C5,"")</f>
        <v/>
      </c>
      <c r="AO495" t="str">
        <f t="shared" si="8"/>
        <v/>
      </c>
    </row>
    <row r="496" spans="1:41" x14ac:dyDescent="0.2">
      <c r="A496" s="44" t="str">
        <f>IF(COUNTA(B496)&gt;0,488,"")</f>
        <v/>
      </c>
      <c r="G496" s="25" t="str">
        <f t="shared" si="0"/>
        <v/>
      </c>
      <c r="N496" s="44" t="str">
        <f>IF(COUNTA(B496)&gt;0,C5,"")</f>
        <v/>
      </c>
      <c r="AO496" t="str">
        <f t="shared" si="8"/>
        <v/>
      </c>
    </row>
    <row r="497" spans="1:41" x14ac:dyDescent="0.2">
      <c r="A497" s="44" t="str">
        <f>IF(COUNTA(B497)&gt;0,489,"")</f>
        <v/>
      </c>
      <c r="G497" s="25" t="str">
        <f t="shared" si="0"/>
        <v/>
      </c>
      <c r="N497" s="44" t="str">
        <f>IF(COUNTA(B497)&gt;0,C5,"")</f>
        <v/>
      </c>
      <c r="AO497" t="str">
        <f t="shared" si="8"/>
        <v/>
      </c>
    </row>
    <row r="498" spans="1:41" x14ac:dyDescent="0.2">
      <c r="A498" s="44" t="str">
        <f>IF(COUNTA(B498)&gt;0,490,"")</f>
        <v/>
      </c>
      <c r="G498" s="25" t="str">
        <f t="shared" si="0"/>
        <v/>
      </c>
      <c r="N498" s="44" t="str">
        <f>IF(COUNTA(B498)&gt;0,C5,"")</f>
        <v/>
      </c>
      <c r="AO498" t="str">
        <f t="shared" si="8"/>
        <v/>
      </c>
    </row>
    <row r="499" spans="1:41" x14ac:dyDescent="0.2">
      <c r="A499" s="44" t="str">
        <f>IF(COUNTA(B499)&gt;0,491,"")</f>
        <v/>
      </c>
      <c r="G499" s="25" t="str">
        <f t="shared" si="0"/>
        <v/>
      </c>
      <c r="N499" s="44" t="str">
        <f>IF(COUNTA(B499)&gt;0,C5,"")</f>
        <v/>
      </c>
      <c r="AO499" t="str">
        <f t="shared" si="8"/>
        <v/>
      </c>
    </row>
    <row r="500" spans="1:41" x14ac:dyDescent="0.2">
      <c r="A500" s="44" t="str">
        <f>IF(COUNTA(B500)&gt;0,492,"")</f>
        <v/>
      </c>
      <c r="G500" s="25" t="str">
        <f t="shared" si="0"/>
        <v/>
      </c>
      <c r="N500" s="44" t="str">
        <f>IF(COUNTA(B500)&gt;0,C5,"")</f>
        <v/>
      </c>
      <c r="AO500" t="str">
        <f t="shared" si="8"/>
        <v/>
      </c>
    </row>
    <row r="501" spans="1:41" x14ac:dyDescent="0.2">
      <c r="A501" s="44" t="str">
        <f>IF(COUNTA(B501)&gt;0,493,"")</f>
        <v/>
      </c>
      <c r="G501" s="25" t="str">
        <f t="shared" si="0"/>
        <v/>
      </c>
      <c r="N501" s="44" t="str">
        <f>IF(COUNTA(B501)&gt;0,C5,"")</f>
        <v/>
      </c>
      <c r="AO501" t="str">
        <f t="shared" si="8"/>
        <v/>
      </c>
    </row>
    <row r="502" spans="1:41" x14ac:dyDescent="0.2">
      <c r="A502" s="44" t="str">
        <f>IF(COUNTA(B502)&gt;0,494,"")</f>
        <v/>
      </c>
      <c r="G502" s="25" t="str">
        <f t="shared" si="0"/>
        <v/>
      </c>
      <c r="N502" s="44" t="str">
        <f>IF(COUNTA(B502)&gt;0,C5,"")</f>
        <v/>
      </c>
      <c r="AO502" t="str">
        <f t="shared" si="8"/>
        <v/>
      </c>
    </row>
    <row r="503" spans="1:41" x14ac:dyDescent="0.2">
      <c r="A503" s="44" t="str">
        <f>IF(COUNTA(B503)&gt;0,495,"")</f>
        <v/>
      </c>
      <c r="G503" s="25" t="str">
        <f t="shared" si="0"/>
        <v/>
      </c>
      <c r="N503" s="44" t="str">
        <f>IF(COUNTA(B503)&gt;0,C5,"")</f>
        <v/>
      </c>
      <c r="AO503" t="str">
        <f t="shared" si="8"/>
        <v/>
      </c>
    </row>
    <row r="504" spans="1:41" x14ac:dyDescent="0.2">
      <c r="A504" s="44" t="str">
        <f>IF(COUNTA(B504)&gt;0,496,"")</f>
        <v/>
      </c>
      <c r="G504" s="25" t="str">
        <f t="shared" si="0"/>
        <v/>
      </c>
      <c r="N504" s="44" t="str">
        <f>IF(COUNTA(B504)&gt;0,C5,"")</f>
        <v/>
      </c>
      <c r="AO504" t="str">
        <f t="shared" si="8"/>
        <v/>
      </c>
    </row>
    <row r="505" spans="1:41" x14ac:dyDescent="0.2">
      <c r="A505" s="44" t="str">
        <f>IF(COUNTA(B505)&gt;0,497,"")</f>
        <v/>
      </c>
      <c r="G505" s="25" t="str">
        <f t="shared" si="0"/>
        <v/>
      </c>
      <c r="N505" s="44" t="str">
        <f>IF(COUNTA(B505)&gt;0,C5,"")</f>
        <v/>
      </c>
      <c r="AO505" t="str">
        <f t="shared" si="8"/>
        <v/>
      </c>
    </row>
    <row r="506" spans="1:41" x14ac:dyDescent="0.2">
      <c r="A506" s="44" t="str">
        <f>IF(COUNTA(B506)&gt;0,498,"")</f>
        <v/>
      </c>
      <c r="G506" s="25" t="str">
        <f t="shared" si="0"/>
        <v/>
      </c>
      <c r="N506" s="44" t="str">
        <f>IF(COUNTA(B506)&gt;0,C5,"")</f>
        <v/>
      </c>
      <c r="AO506" t="str">
        <f t="shared" si="8"/>
        <v/>
      </c>
    </row>
    <row r="507" spans="1:41" x14ac:dyDescent="0.2">
      <c r="A507" s="44" t="str">
        <f>IF(COUNTA(B507)&gt;0,499,"")</f>
        <v/>
      </c>
      <c r="G507" s="25" t="str">
        <f t="shared" si="0"/>
        <v/>
      </c>
      <c r="N507" s="44" t="str">
        <f>IF(COUNTA(B507)&gt;0,C5,"")</f>
        <v/>
      </c>
      <c r="AO507" t="str">
        <f t="shared" si="8"/>
        <v/>
      </c>
    </row>
    <row r="508" spans="1:41" x14ac:dyDescent="0.2">
      <c r="A508" s="44" t="str">
        <f>IF(COUNTA(B508)&gt;0,500,"")</f>
        <v/>
      </c>
      <c r="G508" s="25" t="str">
        <f t="shared" si="0"/>
        <v/>
      </c>
      <c r="N508" s="44" t="str">
        <f>IF(COUNTA(B508)&gt;0,C5,"")</f>
        <v/>
      </c>
      <c r="AO508" t="str">
        <f t="shared" si="8"/>
        <v/>
      </c>
    </row>
    <row r="509" spans="1:41" x14ac:dyDescent="0.2">
      <c r="A509" s="44" t="str">
        <f>IF(COUNTA(B509)&gt;0,501,"")</f>
        <v/>
      </c>
      <c r="G509" s="25" t="str">
        <f t="shared" si="0"/>
        <v/>
      </c>
      <c r="N509" s="44" t="str">
        <f>IF(COUNTA(B509)&gt;0,C5,"")</f>
        <v/>
      </c>
      <c r="AO509" t="str">
        <f t="shared" si="8"/>
        <v/>
      </c>
    </row>
    <row r="510" spans="1:41" x14ac:dyDescent="0.2">
      <c r="A510" s="44" t="str">
        <f>IF(COUNTA(B510)&gt;0,502,"")</f>
        <v/>
      </c>
      <c r="G510" s="25" t="str">
        <f t="shared" si="0"/>
        <v/>
      </c>
      <c r="N510" s="44" t="str">
        <f>IF(COUNTA(B510)&gt;0,C5,"")</f>
        <v/>
      </c>
      <c r="AO510" t="str">
        <f t="shared" si="8"/>
        <v/>
      </c>
    </row>
    <row r="511" spans="1:41" x14ac:dyDescent="0.2">
      <c r="A511" s="44" t="str">
        <f>IF(COUNTA(B511)&gt;0,503,"")</f>
        <v/>
      </c>
      <c r="G511" s="25" t="str">
        <f t="shared" si="0"/>
        <v/>
      </c>
      <c r="N511" s="44" t="str">
        <f>IF(COUNTA(B511)&gt;0,C5,"")</f>
        <v/>
      </c>
      <c r="AO511" t="str">
        <f t="shared" si="8"/>
        <v/>
      </c>
    </row>
    <row r="512" spans="1:41" x14ac:dyDescent="0.2">
      <c r="A512" s="44" t="str">
        <f>IF(COUNTA(B512)&gt;0,504,"")</f>
        <v/>
      </c>
      <c r="G512" s="25" t="str">
        <f t="shared" si="0"/>
        <v/>
      </c>
      <c r="N512" s="44" t="str">
        <f>IF(COUNTA(B512)&gt;0,C5,"")</f>
        <v/>
      </c>
      <c r="AO512" t="str">
        <f t="shared" si="8"/>
        <v/>
      </c>
    </row>
    <row r="513" spans="1:41" x14ac:dyDescent="0.2">
      <c r="A513" s="44" t="str">
        <f>IF(COUNTA(B513)&gt;0,505,"")</f>
        <v/>
      </c>
      <c r="G513" s="25" t="str">
        <f t="shared" si="0"/>
        <v/>
      </c>
      <c r="N513" s="44" t="str">
        <f>IF(COUNTA(B513)&gt;0,C5,"")</f>
        <v/>
      </c>
      <c r="AO513" t="str">
        <f t="shared" si="8"/>
        <v/>
      </c>
    </row>
    <row r="514" spans="1:41" x14ac:dyDescent="0.2">
      <c r="A514" s="44" t="str">
        <f>IF(COUNTA(B514)&gt;0,506,"")</f>
        <v/>
      </c>
      <c r="G514" s="25" t="str">
        <f t="shared" si="0"/>
        <v/>
      </c>
      <c r="N514" s="44" t="str">
        <f>IF(COUNTA(B514)&gt;0,C5,"")</f>
        <v/>
      </c>
      <c r="AO514" t="str">
        <f t="shared" si="8"/>
        <v/>
      </c>
    </row>
    <row r="515" spans="1:41" x14ac:dyDescent="0.2">
      <c r="A515" s="44" t="str">
        <f>IF(COUNTA(B515)&gt;0,507,"")</f>
        <v/>
      </c>
      <c r="G515" s="25" t="str">
        <f t="shared" si="0"/>
        <v/>
      </c>
      <c r="N515" s="44" t="str">
        <f>IF(COUNTA(B515)&gt;0,C5,"")</f>
        <v/>
      </c>
      <c r="AO515" t="str">
        <f t="shared" si="8"/>
        <v/>
      </c>
    </row>
    <row r="516" spans="1:41" x14ac:dyDescent="0.2">
      <c r="A516" s="44" t="str">
        <f>IF(COUNTA(B516)&gt;0,508,"")</f>
        <v/>
      </c>
      <c r="G516" s="25" t="str">
        <f t="shared" si="0"/>
        <v/>
      </c>
      <c r="N516" s="44" t="str">
        <f>IF(COUNTA(B516)&gt;0,C5,"")</f>
        <v/>
      </c>
      <c r="AO516" t="str">
        <f t="shared" si="8"/>
        <v/>
      </c>
    </row>
    <row r="517" spans="1:41" x14ac:dyDescent="0.2">
      <c r="A517" s="44" t="str">
        <f>IF(COUNTA(B517)&gt;0,509,"")</f>
        <v/>
      </c>
      <c r="G517" s="25" t="str">
        <f t="shared" si="0"/>
        <v/>
      </c>
      <c r="N517" s="44" t="str">
        <f>IF(COUNTA(B517)&gt;0,C5,"")</f>
        <v/>
      </c>
      <c r="AO517" t="str">
        <f t="shared" si="8"/>
        <v/>
      </c>
    </row>
    <row r="518" spans="1:41" x14ac:dyDescent="0.2">
      <c r="A518" s="44" t="str">
        <f>IF(COUNTA(B518)&gt;0,510,"")</f>
        <v/>
      </c>
      <c r="G518" s="25" t="str">
        <f t="shared" si="0"/>
        <v/>
      </c>
      <c r="N518" s="44" t="str">
        <f>IF(COUNTA(B518)&gt;0,C5,"")</f>
        <v/>
      </c>
      <c r="AO518" t="str">
        <f t="shared" si="8"/>
        <v/>
      </c>
    </row>
    <row r="519" spans="1:41" x14ac:dyDescent="0.2">
      <c r="A519" s="44" t="str">
        <f>IF(COUNTA(B519)&gt;0,511,"")</f>
        <v/>
      </c>
      <c r="G519" s="25" t="str">
        <f t="shared" si="0"/>
        <v/>
      </c>
      <c r="N519" s="44" t="str">
        <f>IF(COUNTA(B519)&gt;0,C5,"")</f>
        <v/>
      </c>
      <c r="AO519" t="str">
        <f t="shared" si="8"/>
        <v/>
      </c>
    </row>
    <row r="520" spans="1:41" x14ac:dyDescent="0.2">
      <c r="A520" s="44" t="str">
        <f>IF(COUNTA(B520)&gt;0,512,"")</f>
        <v/>
      </c>
      <c r="G520" s="25" t="str">
        <f t="shared" si="0"/>
        <v/>
      </c>
      <c r="N520" s="44" t="str">
        <f>IF(COUNTA(B520)&gt;0,C5,"")</f>
        <v/>
      </c>
      <c r="AO520" t="str">
        <f t="shared" si="8"/>
        <v/>
      </c>
    </row>
    <row r="521" spans="1:41" x14ac:dyDescent="0.2">
      <c r="A521" s="44" t="str">
        <f>IF(COUNTA(B521)&gt;0,513,"")</f>
        <v/>
      </c>
      <c r="G521" s="25" t="str">
        <f t="shared" si="0"/>
        <v/>
      </c>
      <c r="N521" s="44" t="str">
        <f>IF(COUNTA(B521)&gt;0,C5,"")</f>
        <v/>
      </c>
      <c r="AO521" t="str">
        <f t="shared" ref="AO521:AO584" si="9">IF(COUNTA(L521:M521)&lt;&gt;0,"Có",IF(COUNTA(B521)&gt;0,"Không",""))</f>
        <v/>
      </c>
    </row>
    <row r="522" spans="1:41" x14ac:dyDescent="0.2">
      <c r="A522" s="44" t="str">
        <f>IF(COUNTA(B522)&gt;0,514,"")</f>
        <v/>
      </c>
      <c r="G522" s="25" t="str">
        <f t="shared" si="0"/>
        <v/>
      </c>
      <c r="N522" s="44" t="str">
        <f>IF(COUNTA(B522)&gt;0,C5,"")</f>
        <v/>
      </c>
      <c r="AO522" t="str">
        <f t="shared" si="9"/>
        <v/>
      </c>
    </row>
    <row r="523" spans="1:41" x14ac:dyDescent="0.2">
      <c r="A523" s="44" t="str">
        <f>IF(COUNTA(B523)&gt;0,515,"")</f>
        <v/>
      </c>
      <c r="G523" s="25" t="str">
        <f t="shared" si="0"/>
        <v/>
      </c>
      <c r="N523" s="44" t="str">
        <f>IF(COUNTA(B523)&gt;0,C5,"")</f>
        <v/>
      </c>
      <c r="AO523" t="str">
        <f t="shared" si="9"/>
        <v/>
      </c>
    </row>
    <row r="524" spans="1:41" x14ac:dyDescent="0.2">
      <c r="A524" s="44" t="str">
        <f>IF(COUNTA(B524)&gt;0,516,"")</f>
        <v/>
      </c>
      <c r="G524" s="25" t="str">
        <f t="shared" si="0"/>
        <v/>
      </c>
      <c r="N524" s="44" t="str">
        <f>IF(COUNTA(B524)&gt;0,C5,"")</f>
        <v/>
      </c>
      <c r="AO524" t="str">
        <f t="shared" si="9"/>
        <v/>
      </c>
    </row>
    <row r="525" spans="1:41" x14ac:dyDescent="0.2">
      <c r="A525" s="44" t="str">
        <f>IF(COUNTA(B525)&gt;0,517,"")</f>
        <v/>
      </c>
      <c r="G525" s="25" t="str">
        <f t="shared" si="0"/>
        <v/>
      </c>
      <c r="N525" s="44" t="str">
        <f>IF(COUNTA(B525)&gt;0,C5,"")</f>
        <v/>
      </c>
      <c r="AO525" t="str">
        <f t="shared" si="9"/>
        <v/>
      </c>
    </row>
    <row r="526" spans="1:41" x14ac:dyDescent="0.2">
      <c r="A526" s="44" t="str">
        <f>IF(COUNTA(B526)&gt;0,518,"")</f>
        <v/>
      </c>
      <c r="G526" s="25" t="str">
        <f t="shared" si="0"/>
        <v/>
      </c>
      <c r="N526" s="44" t="str">
        <f>IF(COUNTA(B526)&gt;0,C5,"")</f>
        <v/>
      </c>
      <c r="AO526" t="str">
        <f t="shared" si="9"/>
        <v/>
      </c>
    </row>
    <row r="527" spans="1:41" x14ac:dyDescent="0.2">
      <c r="A527" s="44" t="str">
        <f>IF(COUNTA(B527)&gt;0,519,"")</f>
        <v/>
      </c>
      <c r="G527" s="25" t="str">
        <f t="shared" si="0"/>
        <v/>
      </c>
      <c r="N527" s="44" t="str">
        <f>IF(COUNTA(B527)&gt;0,C5,"")</f>
        <v/>
      </c>
      <c r="AO527" t="str">
        <f t="shared" si="9"/>
        <v/>
      </c>
    </row>
    <row r="528" spans="1:41" x14ac:dyDescent="0.2">
      <c r="A528" s="44" t="str">
        <f>IF(COUNTA(B528)&gt;0,520,"")</f>
        <v/>
      </c>
      <c r="G528" s="25" t="str">
        <f t="shared" si="0"/>
        <v/>
      </c>
      <c r="N528" s="44" t="str">
        <f>IF(COUNTA(B528)&gt;0,C5,"")</f>
        <v/>
      </c>
      <c r="AO528" t="str">
        <f t="shared" si="9"/>
        <v/>
      </c>
    </row>
    <row r="529" spans="1:41" x14ac:dyDescent="0.2">
      <c r="A529" s="44" t="str">
        <f>IF(COUNTA(B529)&gt;0,521,"")</f>
        <v/>
      </c>
      <c r="G529" s="25" t="str">
        <f t="shared" si="0"/>
        <v/>
      </c>
      <c r="N529" s="44" t="str">
        <f>IF(COUNTA(B529)&gt;0,C5,"")</f>
        <v/>
      </c>
      <c r="AO529" t="str">
        <f t="shared" si="9"/>
        <v/>
      </c>
    </row>
    <row r="530" spans="1:41" x14ac:dyDescent="0.2">
      <c r="A530" s="44" t="str">
        <f>IF(COUNTA(B530)&gt;0,522,"")</f>
        <v/>
      </c>
      <c r="G530" s="25" t="str">
        <f t="shared" si="0"/>
        <v/>
      </c>
      <c r="N530" s="44" t="str">
        <f>IF(COUNTA(B530)&gt;0,C5,"")</f>
        <v/>
      </c>
      <c r="AO530" t="str">
        <f t="shared" si="9"/>
        <v/>
      </c>
    </row>
    <row r="531" spans="1:41" x14ac:dyDescent="0.2">
      <c r="A531" s="44" t="str">
        <f>IF(COUNTA(B531)&gt;0,523,"")</f>
        <v/>
      </c>
      <c r="G531" s="25" t="str">
        <f t="shared" si="0"/>
        <v/>
      </c>
      <c r="N531" s="44" t="str">
        <f>IF(COUNTA(B531)&gt;0,C5,"")</f>
        <v/>
      </c>
      <c r="AO531" t="str">
        <f t="shared" si="9"/>
        <v/>
      </c>
    </row>
    <row r="532" spans="1:41" x14ac:dyDescent="0.2">
      <c r="A532" s="44" t="str">
        <f>IF(COUNTA(B532)&gt;0,524,"")</f>
        <v/>
      </c>
      <c r="G532" s="25" t="str">
        <f t="shared" si="0"/>
        <v/>
      </c>
      <c r="N532" s="44" t="str">
        <f>IF(COUNTA(B532)&gt;0,C5,"")</f>
        <v/>
      </c>
      <c r="AO532" t="str">
        <f t="shared" si="9"/>
        <v/>
      </c>
    </row>
    <row r="533" spans="1:41" x14ac:dyDescent="0.2">
      <c r="A533" s="44" t="str">
        <f>IF(COUNTA(B533)&gt;0,525,"")</f>
        <v/>
      </c>
      <c r="G533" s="25" t="str">
        <f t="shared" si="0"/>
        <v/>
      </c>
      <c r="N533" s="44" t="str">
        <f>IF(COUNTA(B533)&gt;0,C5,"")</f>
        <v/>
      </c>
      <c r="AO533" t="str">
        <f t="shared" si="9"/>
        <v/>
      </c>
    </row>
    <row r="534" spans="1:41" x14ac:dyDescent="0.2">
      <c r="A534" s="44" t="str">
        <f>IF(COUNTA(B534)&gt;0,526,"")</f>
        <v/>
      </c>
      <c r="G534" s="25" t="str">
        <f t="shared" si="0"/>
        <v/>
      </c>
      <c r="N534" s="44" t="str">
        <f>IF(COUNTA(B534)&gt;0,C5,"")</f>
        <v/>
      </c>
      <c r="AO534" t="str">
        <f t="shared" si="9"/>
        <v/>
      </c>
    </row>
    <row r="535" spans="1:41" x14ac:dyDescent="0.2">
      <c r="A535" s="44" t="str">
        <f>IF(COUNTA(B535)&gt;0,527,"")</f>
        <v/>
      </c>
      <c r="G535" s="25" t="str">
        <f t="shared" si="0"/>
        <v/>
      </c>
      <c r="N535" s="44" t="str">
        <f>IF(COUNTA(B535)&gt;0,C5,"")</f>
        <v/>
      </c>
      <c r="AO535" t="str">
        <f t="shared" si="9"/>
        <v/>
      </c>
    </row>
    <row r="536" spans="1:41" x14ac:dyDescent="0.2">
      <c r="A536" s="44" t="str">
        <f>IF(COUNTA(B536)&gt;0,528,"")</f>
        <v/>
      </c>
      <c r="G536" s="25" t="str">
        <f t="shared" si="0"/>
        <v/>
      </c>
      <c r="N536" s="44" t="str">
        <f>IF(COUNTA(B536)&gt;0,C5,"")</f>
        <v/>
      </c>
      <c r="AO536" t="str">
        <f t="shared" si="9"/>
        <v/>
      </c>
    </row>
    <row r="537" spans="1:41" x14ac:dyDescent="0.2">
      <c r="A537" s="44" t="str">
        <f>IF(COUNTA(B537)&gt;0,529,"")</f>
        <v/>
      </c>
      <c r="G537" s="25" t="str">
        <f t="shared" si="0"/>
        <v/>
      </c>
      <c r="N537" s="44" t="str">
        <f>IF(COUNTA(B537)&gt;0,C5,"")</f>
        <v/>
      </c>
      <c r="AO537" t="str">
        <f t="shared" si="9"/>
        <v/>
      </c>
    </row>
    <row r="538" spans="1:41" x14ac:dyDescent="0.2">
      <c r="A538" s="44" t="str">
        <f>IF(COUNTA(B538)&gt;0,530,"")</f>
        <v/>
      </c>
      <c r="G538" s="25" t="str">
        <f t="shared" si="0"/>
        <v/>
      </c>
      <c r="N538" s="44" t="str">
        <f>IF(COUNTA(B538)&gt;0,C5,"")</f>
        <v/>
      </c>
      <c r="AO538" t="str">
        <f t="shared" si="9"/>
        <v/>
      </c>
    </row>
    <row r="539" spans="1:41" x14ac:dyDescent="0.2">
      <c r="A539" s="44" t="str">
        <f>IF(COUNTA(B539)&gt;0,531,"")</f>
        <v/>
      </c>
      <c r="G539" s="25" t="str">
        <f t="shared" si="0"/>
        <v/>
      </c>
      <c r="N539" s="44" t="str">
        <f>IF(COUNTA(B539)&gt;0,C5,"")</f>
        <v/>
      </c>
      <c r="AO539" t="str">
        <f t="shared" si="9"/>
        <v/>
      </c>
    </row>
    <row r="540" spans="1:41" x14ac:dyDescent="0.2">
      <c r="A540" s="44" t="str">
        <f>IF(COUNTA(B540)&gt;0,532,"")</f>
        <v/>
      </c>
      <c r="G540" s="25" t="str">
        <f t="shared" si="0"/>
        <v/>
      </c>
      <c r="N540" s="44" t="str">
        <f>IF(COUNTA(B540)&gt;0,C5,"")</f>
        <v/>
      </c>
      <c r="AO540" t="str">
        <f t="shared" si="9"/>
        <v/>
      </c>
    </row>
    <row r="541" spans="1:41" x14ac:dyDescent="0.2">
      <c r="A541" s="44" t="str">
        <f>IF(COUNTA(B541)&gt;0,533,"")</f>
        <v/>
      </c>
      <c r="G541" s="25" t="str">
        <f t="shared" si="0"/>
        <v/>
      </c>
      <c r="N541" s="44" t="str">
        <f>IF(COUNTA(B541)&gt;0,C5,"")</f>
        <v/>
      </c>
      <c r="AO541" t="str">
        <f t="shared" si="9"/>
        <v/>
      </c>
    </row>
    <row r="542" spans="1:41" x14ac:dyDescent="0.2">
      <c r="A542" s="44" t="str">
        <f>IF(COUNTA(B542)&gt;0,534,"")</f>
        <v/>
      </c>
      <c r="G542" s="25" t="str">
        <f t="shared" si="0"/>
        <v/>
      </c>
      <c r="N542" s="44" t="str">
        <f>IF(COUNTA(B542)&gt;0,C5,"")</f>
        <v/>
      </c>
      <c r="AO542" t="str">
        <f t="shared" si="9"/>
        <v/>
      </c>
    </row>
    <row r="543" spans="1:41" x14ac:dyDescent="0.2">
      <c r="A543" s="44" t="str">
        <f>IF(COUNTA(B543)&gt;0,535,"")</f>
        <v/>
      </c>
      <c r="G543" s="25" t="str">
        <f t="shared" si="0"/>
        <v/>
      </c>
      <c r="N543" s="44" t="str">
        <f>IF(COUNTA(B543)&gt;0,C5,"")</f>
        <v/>
      </c>
      <c r="AO543" t="str">
        <f t="shared" si="9"/>
        <v/>
      </c>
    </row>
    <row r="544" spans="1:41" x14ac:dyDescent="0.2">
      <c r="A544" s="44" t="str">
        <f>IF(COUNTA(B544)&gt;0,536,"")</f>
        <v/>
      </c>
      <c r="G544" s="25" t="str">
        <f t="shared" si="0"/>
        <v/>
      </c>
      <c r="N544" s="44" t="str">
        <f>IF(COUNTA(B544)&gt;0,C5,"")</f>
        <v/>
      </c>
      <c r="AO544" t="str">
        <f t="shared" si="9"/>
        <v/>
      </c>
    </row>
    <row r="545" spans="1:41" x14ac:dyDescent="0.2">
      <c r="A545" s="44" t="str">
        <f>IF(COUNTA(B545)&gt;0,537,"")</f>
        <v/>
      </c>
      <c r="G545" s="25" t="str">
        <f t="shared" si="0"/>
        <v/>
      </c>
      <c r="N545" s="44" t="str">
        <f>IF(COUNTA(B545)&gt;0,C5,"")</f>
        <v/>
      </c>
      <c r="AO545" t="str">
        <f t="shared" si="9"/>
        <v/>
      </c>
    </row>
    <row r="546" spans="1:41" x14ac:dyDescent="0.2">
      <c r="A546" s="44" t="str">
        <f>IF(COUNTA(B546)&gt;0,538,"")</f>
        <v/>
      </c>
      <c r="G546" s="25" t="str">
        <f t="shared" si="0"/>
        <v/>
      </c>
      <c r="N546" s="44" t="str">
        <f>IF(COUNTA(B546)&gt;0,C5,"")</f>
        <v/>
      </c>
      <c r="AO546" t="str">
        <f t="shared" si="9"/>
        <v/>
      </c>
    </row>
    <row r="547" spans="1:41" x14ac:dyDescent="0.2">
      <c r="A547" s="44" t="str">
        <f>IF(COUNTA(B547)&gt;0,539,"")</f>
        <v/>
      </c>
      <c r="G547" s="25" t="str">
        <f t="shared" si="0"/>
        <v/>
      </c>
      <c r="N547" s="44" t="str">
        <f>IF(COUNTA(B547)&gt;0,C5,"")</f>
        <v/>
      </c>
      <c r="AO547" t="str">
        <f t="shared" si="9"/>
        <v/>
      </c>
    </row>
    <row r="548" spans="1:41" x14ac:dyDescent="0.2">
      <c r="A548" s="44" t="str">
        <f>IF(COUNTA(B548)&gt;0,540,"")</f>
        <v/>
      </c>
      <c r="G548" s="25" t="str">
        <f t="shared" si="0"/>
        <v/>
      </c>
      <c r="N548" s="44" t="str">
        <f>IF(COUNTA(B548)&gt;0,C5,"")</f>
        <v/>
      </c>
      <c r="AO548" t="str">
        <f t="shared" si="9"/>
        <v/>
      </c>
    </row>
    <row r="549" spans="1:41" x14ac:dyDescent="0.2">
      <c r="A549" s="44" t="str">
        <f>IF(COUNTA(B549)&gt;0,541,"")</f>
        <v/>
      </c>
      <c r="G549" s="25" t="str">
        <f t="shared" si="0"/>
        <v/>
      </c>
      <c r="N549" s="44" t="str">
        <f>IF(COUNTA(B549)&gt;0,C5,"")</f>
        <v/>
      </c>
      <c r="AO549" t="str">
        <f t="shared" si="9"/>
        <v/>
      </c>
    </row>
    <row r="550" spans="1:41" x14ac:dyDescent="0.2">
      <c r="A550" s="44" t="str">
        <f>IF(COUNTA(B550)&gt;0,542,"")</f>
        <v/>
      </c>
      <c r="G550" s="25" t="str">
        <f t="shared" si="0"/>
        <v/>
      </c>
      <c r="N550" s="44" t="str">
        <f>IF(COUNTA(B550)&gt;0,C5,"")</f>
        <v/>
      </c>
      <c r="AO550" t="str">
        <f t="shared" si="9"/>
        <v/>
      </c>
    </row>
    <row r="551" spans="1:41" x14ac:dyDescent="0.2">
      <c r="A551" s="44" t="str">
        <f>IF(COUNTA(B551)&gt;0,543,"")</f>
        <v/>
      </c>
      <c r="G551" s="25" t="str">
        <f t="shared" si="0"/>
        <v/>
      </c>
      <c r="N551" s="44" t="str">
        <f>IF(COUNTA(B551)&gt;0,C5,"")</f>
        <v/>
      </c>
      <c r="AO551" t="str">
        <f t="shared" si="9"/>
        <v/>
      </c>
    </row>
    <row r="552" spans="1:41" x14ac:dyDescent="0.2">
      <c r="A552" s="44" t="str">
        <f>IF(COUNTA(B552)&gt;0,544,"")</f>
        <v/>
      </c>
      <c r="G552" s="25" t="str">
        <f t="shared" si="0"/>
        <v/>
      </c>
      <c r="N552" s="44" t="str">
        <f>IF(COUNTA(B552)&gt;0,C5,"")</f>
        <v/>
      </c>
      <c r="AO552" t="str">
        <f t="shared" si="9"/>
        <v/>
      </c>
    </row>
    <row r="553" spans="1:41" x14ac:dyDescent="0.2">
      <c r="A553" s="44" t="str">
        <f>IF(COUNTA(B553)&gt;0,545,"")</f>
        <v/>
      </c>
      <c r="G553" s="25" t="str">
        <f t="shared" si="0"/>
        <v/>
      </c>
      <c r="N553" s="44" t="str">
        <f>IF(COUNTA(B553)&gt;0,C5,"")</f>
        <v/>
      </c>
      <c r="AO553" t="str">
        <f t="shared" si="9"/>
        <v/>
      </c>
    </row>
    <row r="554" spans="1:41" x14ac:dyDescent="0.2">
      <c r="A554" s="44" t="str">
        <f>IF(COUNTA(B554)&gt;0,546,"")</f>
        <v/>
      </c>
      <c r="G554" s="25" t="str">
        <f t="shared" si="0"/>
        <v/>
      </c>
      <c r="N554" s="44" t="str">
        <f>IF(COUNTA(B554)&gt;0,C5,"")</f>
        <v/>
      </c>
      <c r="AO554" t="str">
        <f t="shared" si="9"/>
        <v/>
      </c>
    </row>
    <row r="555" spans="1:41" x14ac:dyDescent="0.2">
      <c r="A555" s="44" t="str">
        <f>IF(COUNTA(B555)&gt;0,547,"")</f>
        <v/>
      </c>
      <c r="G555" s="25" t="str">
        <f t="shared" si="0"/>
        <v/>
      </c>
      <c r="N555" s="44" t="str">
        <f>IF(COUNTA(B555)&gt;0,C5,"")</f>
        <v/>
      </c>
      <c r="AO555" t="str">
        <f t="shared" si="9"/>
        <v/>
      </c>
    </row>
    <row r="556" spans="1:41" x14ac:dyDescent="0.2">
      <c r="A556" s="44" t="str">
        <f>IF(COUNTA(B556)&gt;0,548,"")</f>
        <v/>
      </c>
      <c r="G556" s="25" t="str">
        <f t="shared" si="0"/>
        <v/>
      </c>
      <c r="N556" s="44" t="str">
        <f>IF(COUNTA(B556)&gt;0,C5,"")</f>
        <v/>
      </c>
      <c r="AO556" t="str">
        <f t="shared" si="9"/>
        <v/>
      </c>
    </row>
    <row r="557" spans="1:41" x14ac:dyDescent="0.2">
      <c r="A557" s="44" t="str">
        <f>IF(COUNTA(B557)&gt;0,549,"")</f>
        <v/>
      </c>
      <c r="G557" s="25" t="str">
        <f t="shared" si="0"/>
        <v/>
      </c>
      <c r="N557" s="44" t="str">
        <f>IF(COUNTA(B557)&gt;0,C5,"")</f>
        <v/>
      </c>
      <c r="AO557" t="str">
        <f t="shared" si="9"/>
        <v/>
      </c>
    </row>
    <row r="558" spans="1:41" x14ac:dyDescent="0.2">
      <c r="A558" s="44" t="str">
        <f>IF(COUNTA(B558)&gt;0,550,"")</f>
        <v/>
      </c>
      <c r="G558" s="25" t="str">
        <f t="shared" si="0"/>
        <v/>
      </c>
      <c r="N558" s="44" t="str">
        <f>IF(COUNTA(B558)&gt;0,C5,"")</f>
        <v/>
      </c>
      <c r="AO558" t="str">
        <f t="shared" si="9"/>
        <v/>
      </c>
    </row>
    <row r="559" spans="1:41" x14ac:dyDescent="0.2">
      <c r="A559" s="44" t="str">
        <f>IF(COUNTA(B559)&gt;0,551,"")</f>
        <v/>
      </c>
      <c r="G559" s="25" t="str">
        <f t="shared" si="0"/>
        <v/>
      </c>
      <c r="N559" s="44" t="str">
        <f>IF(COUNTA(B559)&gt;0,C5,"")</f>
        <v/>
      </c>
      <c r="AO559" t="str">
        <f t="shared" si="9"/>
        <v/>
      </c>
    </row>
    <row r="560" spans="1:41" x14ac:dyDescent="0.2">
      <c r="A560" s="44" t="str">
        <f>IF(COUNTA(B560)&gt;0,552,"")</f>
        <v/>
      </c>
      <c r="G560" s="25" t="str">
        <f t="shared" si="0"/>
        <v/>
      </c>
      <c r="N560" s="44" t="str">
        <f>IF(COUNTA(B560)&gt;0,C5,"")</f>
        <v/>
      </c>
      <c r="AO560" t="str">
        <f t="shared" si="9"/>
        <v/>
      </c>
    </row>
    <row r="561" spans="1:41" x14ac:dyDescent="0.2">
      <c r="A561" s="44" t="str">
        <f>IF(COUNTA(B561)&gt;0,553,"")</f>
        <v/>
      </c>
      <c r="G561" s="25" t="str">
        <f t="shared" si="0"/>
        <v/>
      </c>
      <c r="N561" s="44" t="str">
        <f>IF(COUNTA(B561)&gt;0,C5,"")</f>
        <v/>
      </c>
      <c r="AO561" t="str">
        <f t="shared" si="9"/>
        <v/>
      </c>
    </row>
    <row r="562" spans="1:41" x14ac:dyDescent="0.2">
      <c r="A562" s="44" t="str">
        <f>IF(COUNTA(B562)&gt;0,554,"")</f>
        <v/>
      </c>
      <c r="G562" s="25" t="str">
        <f t="shared" si="0"/>
        <v/>
      </c>
      <c r="N562" s="44" t="str">
        <f>IF(COUNTA(B562)&gt;0,C5,"")</f>
        <v/>
      </c>
      <c r="AO562" t="str">
        <f t="shared" si="9"/>
        <v/>
      </c>
    </row>
    <row r="563" spans="1:41" x14ac:dyDescent="0.2">
      <c r="A563" s="44" t="str">
        <f>IF(COUNTA(B563)&gt;0,555,"")</f>
        <v/>
      </c>
      <c r="G563" s="25" t="str">
        <f t="shared" si="0"/>
        <v/>
      </c>
      <c r="N563" s="44" t="str">
        <f>IF(COUNTA(B563)&gt;0,C5,"")</f>
        <v/>
      </c>
      <c r="AO563" t="str">
        <f t="shared" si="9"/>
        <v/>
      </c>
    </row>
    <row r="564" spans="1:41" x14ac:dyDescent="0.2">
      <c r="A564" s="44" t="str">
        <f>IF(COUNTA(B564)&gt;0,556,"")</f>
        <v/>
      </c>
      <c r="G564" s="25" t="str">
        <f t="shared" si="0"/>
        <v/>
      </c>
      <c r="N564" s="44" t="str">
        <f>IF(COUNTA(B564)&gt;0,C5,"")</f>
        <v/>
      </c>
      <c r="AO564" t="str">
        <f t="shared" si="9"/>
        <v/>
      </c>
    </row>
    <row r="565" spans="1:41" x14ac:dyDescent="0.2">
      <c r="A565" s="44" t="str">
        <f>IF(COUNTA(B565)&gt;0,557,"")</f>
        <v/>
      </c>
      <c r="G565" s="25" t="str">
        <f t="shared" si="0"/>
        <v/>
      </c>
      <c r="N565" s="44" t="str">
        <f>IF(COUNTA(B565)&gt;0,C5,"")</f>
        <v/>
      </c>
      <c r="AO565" t="str">
        <f t="shared" si="9"/>
        <v/>
      </c>
    </row>
    <row r="566" spans="1:41" x14ac:dyDescent="0.2">
      <c r="A566" s="44" t="str">
        <f>IF(COUNTA(B566)&gt;0,558,"")</f>
        <v/>
      </c>
      <c r="G566" s="25" t="str">
        <f t="shared" si="0"/>
        <v/>
      </c>
      <c r="N566" s="44" t="str">
        <f>IF(COUNTA(B566)&gt;0,C5,"")</f>
        <v/>
      </c>
      <c r="AO566" t="str">
        <f t="shared" si="9"/>
        <v/>
      </c>
    </row>
    <row r="567" spans="1:41" x14ac:dyDescent="0.2">
      <c r="A567" s="44" t="str">
        <f>IF(COUNTA(B567)&gt;0,559,"")</f>
        <v/>
      </c>
      <c r="G567" s="25" t="str">
        <f t="shared" si="0"/>
        <v/>
      </c>
      <c r="N567" s="44" t="str">
        <f>IF(COUNTA(B567)&gt;0,C5,"")</f>
        <v/>
      </c>
      <c r="AO567" t="str">
        <f t="shared" si="9"/>
        <v/>
      </c>
    </row>
    <row r="568" spans="1:41" x14ac:dyDescent="0.2">
      <c r="A568" s="44" t="str">
        <f>IF(COUNTA(B568)&gt;0,560,"")</f>
        <v/>
      </c>
      <c r="G568" s="25" t="str">
        <f t="shared" si="0"/>
        <v/>
      </c>
      <c r="N568" s="44" t="str">
        <f>IF(COUNTA(B568)&gt;0,C5,"")</f>
        <v/>
      </c>
      <c r="AO568" t="str">
        <f t="shared" si="9"/>
        <v/>
      </c>
    </row>
    <row r="569" spans="1:41" x14ac:dyDescent="0.2">
      <c r="A569" s="44" t="str">
        <f>IF(COUNTA(B569)&gt;0,561,"")</f>
        <v/>
      </c>
      <c r="G569" s="25" t="str">
        <f t="shared" si="0"/>
        <v/>
      </c>
      <c r="N569" s="44" t="str">
        <f>IF(COUNTA(B569)&gt;0,C5,"")</f>
        <v/>
      </c>
      <c r="AO569" t="str">
        <f t="shared" si="9"/>
        <v/>
      </c>
    </row>
    <row r="570" spans="1:41" x14ac:dyDescent="0.2">
      <c r="A570" s="44" t="str">
        <f>IF(COUNTA(B570)&gt;0,562,"")</f>
        <v/>
      </c>
      <c r="G570" s="25" t="str">
        <f t="shared" si="0"/>
        <v/>
      </c>
      <c r="N570" s="44" t="str">
        <f>IF(COUNTA(B570)&gt;0,C5,"")</f>
        <v/>
      </c>
      <c r="AO570" t="str">
        <f t="shared" si="9"/>
        <v/>
      </c>
    </row>
    <row r="571" spans="1:41" x14ac:dyDescent="0.2">
      <c r="A571" s="44" t="str">
        <f>IF(COUNTA(B571)&gt;0,563,"")</f>
        <v/>
      </c>
      <c r="G571" s="25" t="str">
        <f t="shared" si="0"/>
        <v/>
      </c>
      <c r="N571" s="44" t="str">
        <f>IF(COUNTA(B571)&gt;0,C5,"")</f>
        <v/>
      </c>
      <c r="AO571" t="str">
        <f t="shared" si="9"/>
        <v/>
      </c>
    </row>
    <row r="572" spans="1:41" x14ac:dyDescent="0.2">
      <c r="A572" s="44" t="str">
        <f>IF(COUNTA(B572)&gt;0,564,"")</f>
        <v/>
      </c>
      <c r="G572" s="25" t="str">
        <f t="shared" si="0"/>
        <v/>
      </c>
      <c r="N572" s="44" t="str">
        <f>IF(COUNTA(B572)&gt;0,C5,"")</f>
        <v/>
      </c>
      <c r="AO572" t="str">
        <f t="shared" si="9"/>
        <v/>
      </c>
    </row>
    <row r="573" spans="1:41" x14ac:dyDescent="0.2">
      <c r="A573" s="44" t="str">
        <f>IF(COUNTA(B573)&gt;0,565,"")</f>
        <v/>
      </c>
      <c r="G573" s="25" t="str">
        <f t="shared" si="0"/>
        <v/>
      </c>
      <c r="N573" s="44" t="str">
        <f>IF(COUNTA(B573)&gt;0,C5,"")</f>
        <v/>
      </c>
      <c r="AO573" t="str">
        <f t="shared" si="9"/>
        <v/>
      </c>
    </row>
    <row r="574" spans="1:41" x14ac:dyDescent="0.2">
      <c r="A574" s="44" t="str">
        <f>IF(COUNTA(B574)&gt;0,566,"")</f>
        <v/>
      </c>
      <c r="G574" s="25" t="str">
        <f t="shared" si="0"/>
        <v/>
      </c>
      <c r="N574" s="44" t="str">
        <f>IF(COUNTA(B574)&gt;0,C5,"")</f>
        <v/>
      </c>
      <c r="AO574" t="str">
        <f t="shared" si="9"/>
        <v/>
      </c>
    </row>
    <row r="575" spans="1:41" x14ac:dyDescent="0.2">
      <c r="A575" s="44" t="str">
        <f>IF(COUNTA(B575)&gt;0,567,"")</f>
        <v/>
      </c>
      <c r="G575" s="25" t="str">
        <f t="shared" si="0"/>
        <v/>
      </c>
      <c r="N575" s="44" t="str">
        <f>IF(COUNTA(B575)&gt;0,C5,"")</f>
        <v/>
      </c>
      <c r="AO575" t="str">
        <f t="shared" si="9"/>
        <v/>
      </c>
    </row>
    <row r="576" spans="1:41" x14ac:dyDescent="0.2">
      <c r="A576" s="44" t="str">
        <f>IF(COUNTA(B576)&gt;0,568,"")</f>
        <v/>
      </c>
      <c r="G576" s="25" t="str">
        <f t="shared" si="0"/>
        <v/>
      </c>
      <c r="N576" s="44" t="str">
        <f>IF(COUNTA(B576)&gt;0,C5,"")</f>
        <v/>
      </c>
      <c r="AO576" t="str">
        <f t="shared" si="9"/>
        <v/>
      </c>
    </row>
    <row r="577" spans="1:41" x14ac:dyDescent="0.2">
      <c r="A577" s="44" t="str">
        <f>IF(COUNTA(B577)&gt;0,569,"")</f>
        <v/>
      </c>
      <c r="G577" s="25" t="str">
        <f t="shared" si="0"/>
        <v/>
      </c>
      <c r="N577" s="44" t="str">
        <f>IF(COUNTA(B577)&gt;0,C5,"")</f>
        <v/>
      </c>
      <c r="AO577" t="str">
        <f t="shared" si="9"/>
        <v/>
      </c>
    </row>
    <row r="578" spans="1:41" x14ac:dyDescent="0.2">
      <c r="A578" s="44" t="str">
        <f>IF(COUNTA(B578)&gt;0,570,"")</f>
        <v/>
      </c>
      <c r="G578" s="25" t="str">
        <f t="shared" si="0"/>
        <v/>
      </c>
      <c r="N578" s="44" t="str">
        <f>IF(COUNTA(B578)&gt;0,C5,"")</f>
        <v/>
      </c>
      <c r="AO578" t="str">
        <f t="shared" si="9"/>
        <v/>
      </c>
    </row>
    <row r="579" spans="1:41" x14ac:dyDescent="0.2">
      <c r="A579" s="44" t="str">
        <f>IF(COUNTA(B579)&gt;0,571,"")</f>
        <v/>
      </c>
      <c r="G579" s="25" t="str">
        <f t="shared" si="0"/>
        <v/>
      </c>
      <c r="N579" s="44" t="str">
        <f>IF(COUNTA(B579)&gt;0,C5,"")</f>
        <v/>
      </c>
      <c r="AO579" t="str">
        <f t="shared" si="9"/>
        <v/>
      </c>
    </row>
    <row r="580" spans="1:41" x14ac:dyDescent="0.2">
      <c r="A580" s="44" t="str">
        <f>IF(COUNTA(B580)&gt;0,572,"")</f>
        <v/>
      </c>
      <c r="G580" s="25" t="str">
        <f t="shared" si="0"/>
        <v/>
      </c>
      <c r="N580" s="44" t="str">
        <f>IF(COUNTA(B580)&gt;0,C5,"")</f>
        <v/>
      </c>
      <c r="AO580" t="str">
        <f t="shared" si="9"/>
        <v/>
      </c>
    </row>
    <row r="581" spans="1:41" x14ac:dyDescent="0.2">
      <c r="A581" s="44" t="str">
        <f>IF(COUNTA(B581)&gt;0,573,"")</f>
        <v/>
      </c>
      <c r="G581" s="25" t="str">
        <f t="shared" si="0"/>
        <v/>
      </c>
      <c r="N581" s="44" t="str">
        <f>IF(COUNTA(B581)&gt;0,C5,"")</f>
        <v/>
      </c>
      <c r="AO581" t="str">
        <f t="shared" si="9"/>
        <v/>
      </c>
    </row>
    <row r="582" spans="1:41" x14ac:dyDescent="0.2">
      <c r="A582" s="44" t="str">
        <f>IF(COUNTA(B582)&gt;0,574,"")</f>
        <v/>
      </c>
      <c r="G582" s="25" t="str">
        <f t="shared" si="0"/>
        <v/>
      </c>
      <c r="N582" s="44" t="str">
        <f>IF(COUNTA(B582)&gt;0,C5,"")</f>
        <v/>
      </c>
      <c r="AO582" t="str">
        <f t="shared" si="9"/>
        <v/>
      </c>
    </row>
    <row r="583" spans="1:41" x14ac:dyDescent="0.2">
      <c r="A583" s="44" t="str">
        <f>IF(COUNTA(B583)&gt;0,575,"")</f>
        <v/>
      </c>
      <c r="G583" s="25" t="str">
        <f t="shared" si="0"/>
        <v/>
      </c>
      <c r="N583" s="44" t="str">
        <f>IF(COUNTA(B583)&gt;0,C5,"")</f>
        <v/>
      </c>
      <c r="AO583" t="str">
        <f t="shared" si="9"/>
        <v/>
      </c>
    </row>
    <row r="584" spans="1:41" x14ac:dyDescent="0.2">
      <c r="A584" s="44" t="str">
        <f>IF(COUNTA(B584)&gt;0,576,"")</f>
        <v/>
      </c>
      <c r="G584" s="25" t="str">
        <f t="shared" si="0"/>
        <v/>
      </c>
      <c r="N584" s="44" t="str">
        <f>IF(COUNTA(B584)&gt;0,C5,"")</f>
        <v/>
      </c>
      <c r="AO584" t="str">
        <f t="shared" si="9"/>
        <v/>
      </c>
    </row>
    <row r="585" spans="1:41" x14ac:dyDescent="0.2">
      <c r="A585" s="44" t="str">
        <f>IF(COUNTA(B585)&gt;0,577,"")</f>
        <v/>
      </c>
      <c r="G585" s="25" t="str">
        <f t="shared" si="0"/>
        <v/>
      </c>
      <c r="N585" s="44" t="str">
        <f>IF(COUNTA(B585)&gt;0,C5,"")</f>
        <v/>
      </c>
      <c r="AO585" t="str">
        <f t="shared" ref="AO585:AO648" si="10">IF(COUNTA(L585:M585)&lt;&gt;0,"Có",IF(COUNTA(B585)&gt;0,"Không",""))</f>
        <v/>
      </c>
    </row>
    <row r="586" spans="1:41" x14ac:dyDescent="0.2">
      <c r="A586" s="44" t="str">
        <f>IF(COUNTA(B586)&gt;0,578,"")</f>
        <v/>
      </c>
      <c r="G586" s="25" t="str">
        <f t="shared" si="0"/>
        <v/>
      </c>
      <c r="N586" s="44" t="str">
        <f>IF(COUNTA(B586)&gt;0,C5,"")</f>
        <v/>
      </c>
      <c r="AO586" t="str">
        <f t="shared" si="10"/>
        <v/>
      </c>
    </row>
    <row r="587" spans="1:41" x14ac:dyDescent="0.2">
      <c r="A587" s="44" t="str">
        <f>IF(COUNTA(B587)&gt;0,579,"")</f>
        <v/>
      </c>
      <c r="G587" s="25" t="str">
        <f t="shared" si="0"/>
        <v/>
      </c>
      <c r="N587" s="44" t="str">
        <f>IF(COUNTA(B587)&gt;0,C5,"")</f>
        <v/>
      </c>
      <c r="AO587" t="str">
        <f t="shared" si="10"/>
        <v/>
      </c>
    </row>
    <row r="588" spans="1:41" x14ac:dyDescent="0.2">
      <c r="A588" s="44" t="str">
        <f>IF(COUNTA(B588)&gt;0,580,"")</f>
        <v/>
      </c>
      <c r="G588" s="25" t="str">
        <f t="shared" si="0"/>
        <v/>
      </c>
      <c r="N588" s="44" t="str">
        <f>IF(COUNTA(B588)&gt;0,C5,"")</f>
        <v/>
      </c>
      <c r="AO588" t="str">
        <f t="shared" si="10"/>
        <v/>
      </c>
    </row>
    <row r="589" spans="1:41" x14ac:dyDescent="0.2">
      <c r="A589" s="44" t="str">
        <f>IF(COUNTA(B589)&gt;0,581,"")</f>
        <v/>
      </c>
      <c r="G589" s="25" t="str">
        <f t="shared" si="0"/>
        <v/>
      </c>
      <c r="N589" s="44" t="str">
        <f>IF(COUNTA(B589)&gt;0,C5,"")</f>
        <v/>
      </c>
      <c r="AO589" t="str">
        <f t="shared" si="10"/>
        <v/>
      </c>
    </row>
    <row r="590" spans="1:41" x14ac:dyDescent="0.2">
      <c r="A590" s="44" t="str">
        <f>IF(COUNTA(B590)&gt;0,582,"")</f>
        <v/>
      </c>
      <c r="G590" s="25" t="str">
        <f t="shared" si="0"/>
        <v/>
      </c>
      <c r="N590" s="44" t="str">
        <f>IF(COUNTA(B590)&gt;0,C5,"")</f>
        <v/>
      </c>
      <c r="AO590" t="str">
        <f t="shared" si="10"/>
        <v/>
      </c>
    </row>
    <row r="591" spans="1:41" x14ac:dyDescent="0.2">
      <c r="A591" s="44" t="str">
        <f>IF(COUNTA(B591)&gt;0,583,"")</f>
        <v/>
      </c>
      <c r="G591" s="25" t="str">
        <f t="shared" si="0"/>
        <v/>
      </c>
      <c r="N591" s="44" t="str">
        <f>IF(COUNTA(B591)&gt;0,C5,"")</f>
        <v/>
      </c>
      <c r="AO591" t="str">
        <f t="shared" si="10"/>
        <v/>
      </c>
    </row>
    <row r="592" spans="1:41" x14ac:dyDescent="0.2">
      <c r="A592" s="44" t="str">
        <f>IF(COUNTA(B592)&gt;0,584,"")</f>
        <v/>
      </c>
      <c r="G592" s="25" t="str">
        <f t="shared" si="0"/>
        <v/>
      </c>
      <c r="N592" s="44" t="str">
        <f>IF(COUNTA(B592)&gt;0,C5,"")</f>
        <v/>
      </c>
      <c r="AO592" t="str">
        <f t="shared" si="10"/>
        <v/>
      </c>
    </row>
    <row r="593" spans="1:41" x14ac:dyDescent="0.2">
      <c r="A593" s="44" t="str">
        <f>IF(COUNTA(B593)&gt;0,585,"")</f>
        <v/>
      </c>
      <c r="G593" s="25" t="str">
        <f t="shared" si="0"/>
        <v/>
      </c>
      <c r="N593" s="44" t="str">
        <f>IF(COUNTA(B593)&gt;0,C5,"")</f>
        <v/>
      </c>
      <c r="AO593" t="str">
        <f t="shared" si="10"/>
        <v/>
      </c>
    </row>
    <row r="594" spans="1:41" x14ac:dyDescent="0.2">
      <c r="A594" s="44" t="str">
        <f>IF(COUNTA(B594)&gt;0,586,"")</f>
        <v/>
      </c>
      <c r="G594" s="25" t="str">
        <f t="shared" si="0"/>
        <v/>
      </c>
      <c r="N594" s="44" t="str">
        <f>IF(COUNTA(B594)&gt;0,C5,"")</f>
        <v/>
      </c>
      <c r="AO594" t="str">
        <f t="shared" si="10"/>
        <v/>
      </c>
    </row>
    <row r="595" spans="1:41" x14ac:dyDescent="0.2">
      <c r="A595" s="44" t="str">
        <f>IF(COUNTA(B595)&gt;0,587,"")</f>
        <v/>
      </c>
      <c r="G595" s="25" t="str">
        <f t="shared" si="0"/>
        <v/>
      </c>
      <c r="N595" s="44" t="str">
        <f>IF(COUNTA(B595)&gt;0,C5,"")</f>
        <v/>
      </c>
      <c r="AO595" t="str">
        <f t="shared" si="10"/>
        <v/>
      </c>
    </row>
    <row r="596" spans="1:41" x14ac:dyDescent="0.2">
      <c r="A596" s="44" t="str">
        <f>IF(COUNTA(B596)&gt;0,588,"")</f>
        <v/>
      </c>
      <c r="G596" s="25" t="str">
        <f t="shared" si="0"/>
        <v/>
      </c>
      <c r="N596" s="44" t="str">
        <f>IF(COUNTA(B596)&gt;0,C5,"")</f>
        <v/>
      </c>
      <c r="AO596" t="str">
        <f t="shared" si="10"/>
        <v/>
      </c>
    </row>
    <row r="597" spans="1:41" x14ac:dyDescent="0.2">
      <c r="A597" s="44" t="str">
        <f>IF(COUNTA(B597)&gt;0,589,"")</f>
        <v/>
      </c>
      <c r="G597" s="25" t="str">
        <f t="shared" si="0"/>
        <v/>
      </c>
      <c r="N597" s="44" t="str">
        <f>IF(COUNTA(B597)&gt;0,C5,"")</f>
        <v/>
      </c>
      <c r="AO597" t="str">
        <f t="shared" si="10"/>
        <v/>
      </c>
    </row>
    <row r="598" spans="1:41" x14ac:dyDescent="0.2">
      <c r="A598" s="44" t="str">
        <f>IF(COUNTA(B598)&gt;0,590,"")</f>
        <v/>
      </c>
      <c r="G598" s="25" t="str">
        <f t="shared" si="0"/>
        <v/>
      </c>
      <c r="N598" s="44" t="str">
        <f>IF(COUNTA(B598)&gt;0,C5,"")</f>
        <v/>
      </c>
      <c r="AO598" t="str">
        <f t="shared" si="10"/>
        <v/>
      </c>
    </row>
    <row r="599" spans="1:41" x14ac:dyDescent="0.2">
      <c r="A599" s="44" t="str">
        <f>IF(COUNTA(B599)&gt;0,591,"")</f>
        <v/>
      </c>
      <c r="G599" s="25" t="str">
        <f t="shared" si="0"/>
        <v/>
      </c>
      <c r="N599" s="44" t="str">
        <f>IF(COUNTA(B599)&gt;0,C5,"")</f>
        <v/>
      </c>
      <c r="AO599" t="str">
        <f t="shared" si="10"/>
        <v/>
      </c>
    </row>
    <row r="600" spans="1:41" x14ac:dyDescent="0.2">
      <c r="A600" s="44" t="str">
        <f>IF(COUNTA(B600)&gt;0,592,"")</f>
        <v/>
      </c>
      <c r="G600" s="25" t="str">
        <f t="shared" si="0"/>
        <v/>
      </c>
      <c r="N600" s="44" t="str">
        <f>IF(COUNTA(B600)&gt;0,C5,"")</f>
        <v/>
      </c>
      <c r="AO600" t="str">
        <f t="shared" si="10"/>
        <v/>
      </c>
    </row>
    <row r="601" spans="1:41" x14ac:dyDescent="0.2">
      <c r="A601" s="44" t="str">
        <f>IF(COUNTA(B601)&gt;0,593,"")</f>
        <v/>
      </c>
      <c r="G601" s="25" t="str">
        <f t="shared" si="0"/>
        <v/>
      </c>
      <c r="N601" s="44" t="str">
        <f>IF(COUNTA(B601)&gt;0,C5,"")</f>
        <v/>
      </c>
      <c r="AO601" t="str">
        <f t="shared" si="10"/>
        <v/>
      </c>
    </row>
    <row r="602" spans="1:41" x14ac:dyDescent="0.2">
      <c r="A602" s="44" t="str">
        <f>IF(COUNTA(B602)&gt;0,594,"")</f>
        <v/>
      </c>
      <c r="G602" s="25" t="str">
        <f t="shared" si="0"/>
        <v/>
      </c>
      <c r="N602" s="44" t="str">
        <f>IF(COUNTA(B602)&gt;0,C5,"")</f>
        <v/>
      </c>
      <c r="AO602" t="str">
        <f t="shared" si="10"/>
        <v/>
      </c>
    </row>
    <row r="603" spans="1:41" x14ac:dyDescent="0.2">
      <c r="A603" s="44" t="str">
        <f>IF(COUNTA(B603)&gt;0,595,"")</f>
        <v/>
      </c>
      <c r="G603" s="25" t="str">
        <f t="shared" si="0"/>
        <v/>
      </c>
      <c r="N603" s="44" t="str">
        <f>IF(COUNTA(B603)&gt;0,C5,"")</f>
        <v/>
      </c>
      <c r="AO603" t="str">
        <f t="shared" si="10"/>
        <v/>
      </c>
    </row>
    <row r="604" spans="1:41" x14ac:dyDescent="0.2">
      <c r="A604" s="44" t="str">
        <f>IF(COUNTA(B604)&gt;0,596,"")</f>
        <v/>
      </c>
      <c r="G604" s="25" t="str">
        <f t="shared" si="0"/>
        <v/>
      </c>
      <c r="N604" s="44" t="str">
        <f>IF(COUNTA(B604)&gt;0,C5,"")</f>
        <v/>
      </c>
      <c r="AO604" t="str">
        <f t="shared" si="10"/>
        <v/>
      </c>
    </row>
    <row r="605" spans="1:41" x14ac:dyDescent="0.2">
      <c r="A605" s="44" t="str">
        <f>IF(COUNTA(B605)&gt;0,597,"")</f>
        <v/>
      </c>
      <c r="G605" s="25" t="str">
        <f t="shared" si="0"/>
        <v/>
      </c>
      <c r="N605" s="44" t="str">
        <f>IF(COUNTA(B605)&gt;0,C5,"")</f>
        <v/>
      </c>
      <c r="AO605" t="str">
        <f t="shared" si="10"/>
        <v/>
      </c>
    </row>
    <row r="606" spans="1:41" x14ac:dyDescent="0.2">
      <c r="A606" s="44" t="str">
        <f>IF(COUNTA(B606)&gt;0,598,"")</f>
        <v/>
      </c>
      <c r="G606" s="25" t="str">
        <f t="shared" si="0"/>
        <v/>
      </c>
      <c r="N606" s="44" t="str">
        <f>IF(COUNTA(B606)&gt;0,C5,"")</f>
        <v/>
      </c>
      <c r="AO606" t="str">
        <f t="shared" si="10"/>
        <v/>
      </c>
    </row>
    <row r="607" spans="1:41" x14ac:dyDescent="0.2">
      <c r="A607" s="44" t="str">
        <f>IF(COUNTA(B607)&gt;0,599,"")</f>
        <v/>
      </c>
      <c r="G607" s="25" t="str">
        <f t="shared" si="0"/>
        <v/>
      </c>
      <c r="N607" s="44" t="str">
        <f>IF(COUNTA(B607)&gt;0,C5,"")</f>
        <v/>
      </c>
      <c r="AO607" t="str">
        <f t="shared" si="10"/>
        <v/>
      </c>
    </row>
    <row r="608" spans="1:41" x14ac:dyDescent="0.2">
      <c r="A608" s="44" t="str">
        <f>IF(COUNTA(B608)&gt;0,600,"")</f>
        <v/>
      </c>
      <c r="G608" s="25" t="str">
        <f t="shared" si="0"/>
        <v/>
      </c>
      <c r="N608" s="44" t="str">
        <f>IF(COUNTA(B608)&gt;0,C5,"")</f>
        <v/>
      </c>
      <c r="AO608" t="str">
        <f t="shared" si="10"/>
        <v/>
      </c>
    </row>
    <row r="609" spans="1:41" x14ac:dyDescent="0.2">
      <c r="A609" s="44" t="str">
        <f>IF(COUNTA(B609)&gt;0,601,"")</f>
        <v/>
      </c>
      <c r="G609" s="25" t="str">
        <f t="shared" si="0"/>
        <v/>
      </c>
      <c r="N609" s="44" t="str">
        <f>IF(COUNTA(B609)&gt;0,C5,"")</f>
        <v/>
      </c>
      <c r="AO609" t="str">
        <f t="shared" si="10"/>
        <v/>
      </c>
    </row>
    <row r="610" spans="1:41" x14ac:dyDescent="0.2">
      <c r="A610" s="44" t="str">
        <f>IF(COUNTA(B610)&gt;0,602,"")</f>
        <v/>
      </c>
      <c r="G610" s="25" t="str">
        <f t="shared" si="0"/>
        <v/>
      </c>
      <c r="N610" s="44" t="str">
        <f>IF(COUNTA(B610)&gt;0,C5,"")</f>
        <v/>
      </c>
      <c r="AO610" t="str">
        <f t="shared" si="10"/>
        <v/>
      </c>
    </row>
    <row r="611" spans="1:41" x14ac:dyDescent="0.2">
      <c r="A611" s="44" t="str">
        <f>IF(COUNTA(B611)&gt;0,603,"")</f>
        <v/>
      </c>
      <c r="G611" s="25" t="str">
        <f t="shared" si="0"/>
        <v/>
      </c>
      <c r="N611" s="44" t="str">
        <f>IF(COUNTA(B611)&gt;0,C5,"")</f>
        <v/>
      </c>
      <c r="AO611" t="str">
        <f t="shared" si="10"/>
        <v/>
      </c>
    </row>
    <row r="612" spans="1:41" x14ac:dyDescent="0.2">
      <c r="A612" s="44" t="str">
        <f>IF(COUNTA(B612)&gt;0,604,"")</f>
        <v/>
      </c>
      <c r="G612" s="25" t="str">
        <f t="shared" si="0"/>
        <v/>
      </c>
      <c r="N612" s="44" t="str">
        <f>IF(COUNTA(B612)&gt;0,C5,"")</f>
        <v/>
      </c>
      <c r="AO612" t="str">
        <f t="shared" si="10"/>
        <v/>
      </c>
    </row>
    <row r="613" spans="1:41" x14ac:dyDescent="0.2">
      <c r="A613" s="44" t="str">
        <f>IF(COUNTA(B613)&gt;0,605,"")</f>
        <v/>
      </c>
      <c r="G613" s="25" t="str">
        <f t="shared" si="0"/>
        <v/>
      </c>
      <c r="N613" s="44" t="str">
        <f>IF(COUNTA(B613)&gt;0,C5,"")</f>
        <v/>
      </c>
      <c r="AO613" t="str">
        <f t="shared" si="10"/>
        <v/>
      </c>
    </row>
    <row r="614" spans="1:41" x14ac:dyDescent="0.2">
      <c r="A614" s="44" t="str">
        <f>IF(COUNTA(B614)&gt;0,606,"")</f>
        <v/>
      </c>
      <c r="G614" s="25" t="str">
        <f t="shared" si="0"/>
        <v/>
      </c>
      <c r="N614" s="44" t="str">
        <f>IF(COUNTA(B614)&gt;0,C5,"")</f>
        <v/>
      </c>
      <c r="AO614" t="str">
        <f t="shared" si="10"/>
        <v/>
      </c>
    </row>
    <row r="615" spans="1:41" x14ac:dyDescent="0.2">
      <c r="A615" s="44" t="str">
        <f>IF(COUNTA(B615)&gt;0,607,"")</f>
        <v/>
      </c>
      <c r="G615" s="25" t="str">
        <f t="shared" si="0"/>
        <v/>
      </c>
      <c r="N615" s="44" t="str">
        <f>IF(COUNTA(B615)&gt;0,C5,"")</f>
        <v/>
      </c>
      <c r="AO615" t="str">
        <f t="shared" si="10"/>
        <v/>
      </c>
    </row>
    <row r="616" spans="1:41" x14ac:dyDescent="0.2">
      <c r="A616" s="44" t="str">
        <f>IF(COUNTA(B616)&gt;0,608,"")</f>
        <v/>
      </c>
      <c r="G616" s="25" t="str">
        <f t="shared" si="0"/>
        <v/>
      </c>
      <c r="N616" s="44" t="str">
        <f>IF(COUNTA(B616)&gt;0,C5,"")</f>
        <v/>
      </c>
      <c r="AO616" t="str">
        <f t="shared" si="10"/>
        <v/>
      </c>
    </row>
    <row r="617" spans="1:41" x14ac:dyDescent="0.2">
      <c r="A617" s="44" t="str">
        <f>IF(COUNTA(B617)&gt;0,609,"")</f>
        <v/>
      </c>
      <c r="G617" s="25" t="str">
        <f t="shared" si="0"/>
        <v/>
      </c>
      <c r="N617" s="44" t="str">
        <f>IF(COUNTA(B617)&gt;0,C5,"")</f>
        <v/>
      </c>
      <c r="AO617" t="str">
        <f t="shared" si="10"/>
        <v/>
      </c>
    </row>
    <row r="618" spans="1:41" x14ac:dyDescent="0.2">
      <c r="A618" s="44" t="str">
        <f>IF(COUNTA(B618)&gt;0,610,"")</f>
        <v/>
      </c>
      <c r="G618" s="25" t="str">
        <f t="shared" si="0"/>
        <v/>
      </c>
      <c r="N618" s="44" t="str">
        <f>IF(COUNTA(B618)&gt;0,C5,"")</f>
        <v/>
      </c>
      <c r="AO618" t="str">
        <f t="shared" si="10"/>
        <v/>
      </c>
    </row>
    <row r="619" spans="1:41" x14ac:dyDescent="0.2">
      <c r="A619" s="44" t="str">
        <f>IF(COUNTA(B619)&gt;0,611,"")</f>
        <v/>
      </c>
      <c r="G619" s="25" t="str">
        <f t="shared" si="0"/>
        <v/>
      </c>
      <c r="N619" s="44" t="str">
        <f>IF(COUNTA(B619)&gt;0,C5,"")</f>
        <v/>
      </c>
      <c r="AO619" t="str">
        <f t="shared" si="10"/>
        <v/>
      </c>
    </row>
    <row r="620" spans="1:41" x14ac:dyDescent="0.2">
      <c r="A620" s="44" t="str">
        <f>IF(COUNTA(B620)&gt;0,612,"")</f>
        <v/>
      </c>
      <c r="G620" s="25" t="str">
        <f t="shared" si="0"/>
        <v/>
      </c>
      <c r="N620" s="44" t="str">
        <f>IF(COUNTA(B620)&gt;0,C5,"")</f>
        <v/>
      </c>
      <c r="AO620" t="str">
        <f t="shared" si="10"/>
        <v/>
      </c>
    </row>
    <row r="621" spans="1:41" x14ac:dyDescent="0.2">
      <c r="A621" s="44" t="str">
        <f>IF(COUNTA(B621)&gt;0,613,"")</f>
        <v/>
      </c>
      <c r="G621" s="25" t="str">
        <f t="shared" si="0"/>
        <v/>
      </c>
      <c r="N621" s="44" t="str">
        <f>IF(COUNTA(B621)&gt;0,C5,"")</f>
        <v/>
      </c>
      <c r="AO621" t="str">
        <f t="shared" si="10"/>
        <v/>
      </c>
    </row>
    <row r="622" spans="1:41" x14ac:dyDescent="0.2">
      <c r="A622" s="44" t="str">
        <f>IF(COUNTA(B622)&gt;0,614,"")</f>
        <v/>
      </c>
      <c r="G622" s="25" t="str">
        <f t="shared" si="0"/>
        <v/>
      </c>
      <c r="N622" s="44" t="str">
        <f>IF(COUNTA(B622)&gt;0,C5,"")</f>
        <v/>
      </c>
      <c r="AO622" t="str">
        <f t="shared" si="10"/>
        <v/>
      </c>
    </row>
    <row r="623" spans="1:41" x14ac:dyDescent="0.2">
      <c r="A623" s="44" t="str">
        <f>IF(COUNTA(B623)&gt;0,615,"")</f>
        <v/>
      </c>
      <c r="G623" s="25" t="str">
        <f t="shared" si="0"/>
        <v/>
      </c>
      <c r="N623" s="44" t="str">
        <f>IF(COUNTA(B623)&gt;0,C5,"")</f>
        <v/>
      </c>
      <c r="AO623" t="str">
        <f t="shared" si="10"/>
        <v/>
      </c>
    </row>
    <row r="624" spans="1:41" x14ac:dyDescent="0.2">
      <c r="A624" s="44" t="str">
        <f>IF(COUNTA(B624)&gt;0,616,"")</f>
        <v/>
      </c>
      <c r="G624" s="25" t="str">
        <f t="shared" si="0"/>
        <v/>
      </c>
      <c r="N624" s="44" t="str">
        <f>IF(COUNTA(B624)&gt;0,C5,"")</f>
        <v/>
      </c>
      <c r="AO624" t="str">
        <f t="shared" si="10"/>
        <v/>
      </c>
    </row>
    <row r="625" spans="1:41" x14ac:dyDescent="0.2">
      <c r="A625" s="44" t="str">
        <f>IF(COUNTA(B625)&gt;0,617,"")</f>
        <v/>
      </c>
      <c r="G625" s="25" t="str">
        <f t="shared" si="0"/>
        <v/>
      </c>
      <c r="N625" s="44" t="str">
        <f>IF(COUNTA(B625)&gt;0,C5,"")</f>
        <v/>
      </c>
      <c r="AO625" t="str">
        <f t="shared" si="10"/>
        <v/>
      </c>
    </row>
    <row r="626" spans="1:41" x14ac:dyDescent="0.2">
      <c r="A626" s="44" t="str">
        <f>IF(COUNTA(B626)&gt;0,618,"")</f>
        <v/>
      </c>
      <c r="G626" s="25" t="str">
        <f t="shared" si="0"/>
        <v/>
      </c>
      <c r="N626" s="44" t="str">
        <f>IF(COUNTA(B626)&gt;0,C5,"")</f>
        <v/>
      </c>
      <c r="AO626" t="str">
        <f t="shared" si="10"/>
        <v/>
      </c>
    </row>
    <row r="627" spans="1:41" x14ac:dyDescent="0.2">
      <c r="A627" s="44" t="str">
        <f>IF(COUNTA(B627)&gt;0,619,"")</f>
        <v/>
      </c>
      <c r="G627" s="25" t="str">
        <f t="shared" si="0"/>
        <v/>
      </c>
      <c r="N627" s="44" t="str">
        <f>IF(COUNTA(B627)&gt;0,C5,"")</f>
        <v/>
      </c>
      <c r="AO627" t="str">
        <f t="shared" si="10"/>
        <v/>
      </c>
    </row>
    <row r="628" spans="1:41" x14ac:dyDescent="0.2">
      <c r="A628" s="44" t="str">
        <f>IF(COUNTA(B628)&gt;0,620,"")</f>
        <v/>
      </c>
      <c r="G628" s="25" t="str">
        <f t="shared" si="0"/>
        <v/>
      </c>
      <c r="N628" s="44" t="str">
        <f>IF(COUNTA(B628)&gt;0,C5,"")</f>
        <v/>
      </c>
      <c r="AO628" t="str">
        <f t="shared" si="10"/>
        <v/>
      </c>
    </row>
    <row r="629" spans="1:41" x14ac:dyDescent="0.2">
      <c r="A629" s="44" t="str">
        <f>IF(COUNTA(B629)&gt;0,621,"")</f>
        <v/>
      </c>
      <c r="G629" s="25" t="str">
        <f t="shared" si="0"/>
        <v/>
      </c>
      <c r="N629" s="44" t="str">
        <f>IF(COUNTA(B629)&gt;0,C5,"")</f>
        <v/>
      </c>
      <c r="AO629" t="str">
        <f t="shared" si="10"/>
        <v/>
      </c>
    </row>
    <row r="630" spans="1:41" x14ac:dyDescent="0.2">
      <c r="A630" s="44" t="str">
        <f>IF(COUNTA(B630)&gt;0,622,"")</f>
        <v/>
      </c>
      <c r="G630" s="25" t="str">
        <f t="shared" si="0"/>
        <v/>
      </c>
      <c r="N630" s="44" t="str">
        <f>IF(COUNTA(B630)&gt;0,C5,"")</f>
        <v/>
      </c>
      <c r="AO630" t="str">
        <f t="shared" si="10"/>
        <v/>
      </c>
    </row>
    <row r="631" spans="1:41" x14ac:dyDescent="0.2">
      <c r="A631" s="44" t="str">
        <f>IF(COUNTA(B631)&gt;0,623,"")</f>
        <v/>
      </c>
      <c r="G631" s="25" t="str">
        <f t="shared" si="0"/>
        <v/>
      </c>
      <c r="N631" s="44" t="str">
        <f>IF(COUNTA(B631)&gt;0,C5,"")</f>
        <v/>
      </c>
      <c r="AO631" t="str">
        <f t="shared" si="10"/>
        <v/>
      </c>
    </row>
    <row r="632" spans="1:41" x14ac:dyDescent="0.2">
      <c r="A632" s="44" t="str">
        <f>IF(COUNTA(B632)&gt;0,624,"")</f>
        <v/>
      </c>
      <c r="G632" s="25" t="str">
        <f t="shared" si="0"/>
        <v/>
      </c>
      <c r="N632" s="44" t="str">
        <f>IF(COUNTA(B632)&gt;0,C5,"")</f>
        <v/>
      </c>
      <c r="AO632" t="str">
        <f t="shared" si="10"/>
        <v/>
      </c>
    </row>
    <row r="633" spans="1:41" x14ac:dyDescent="0.2">
      <c r="A633" s="44" t="str">
        <f>IF(COUNTA(B633)&gt;0,625,"")</f>
        <v/>
      </c>
      <c r="G633" s="25" t="str">
        <f t="shared" si="0"/>
        <v/>
      </c>
      <c r="N633" s="44" t="str">
        <f>IF(COUNTA(B633)&gt;0,C5,"")</f>
        <v/>
      </c>
      <c r="AO633" t="str">
        <f t="shared" si="10"/>
        <v/>
      </c>
    </row>
    <row r="634" spans="1:41" x14ac:dyDescent="0.2">
      <c r="A634" s="44" t="str">
        <f>IF(COUNTA(B634)&gt;0,626,"")</f>
        <v/>
      </c>
      <c r="G634" s="25" t="str">
        <f t="shared" si="0"/>
        <v/>
      </c>
      <c r="N634" s="44" t="str">
        <f>IF(COUNTA(B634)&gt;0,C5,"")</f>
        <v/>
      </c>
      <c r="AO634" t="str">
        <f t="shared" si="10"/>
        <v/>
      </c>
    </row>
    <row r="635" spans="1:41" x14ac:dyDescent="0.2">
      <c r="A635" s="44" t="str">
        <f>IF(COUNTA(B635)&gt;0,627,"")</f>
        <v/>
      </c>
      <c r="G635" s="25" t="str">
        <f t="shared" si="0"/>
        <v/>
      </c>
      <c r="N635" s="44" t="str">
        <f>IF(COUNTA(B635)&gt;0,C5,"")</f>
        <v/>
      </c>
      <c r="AO635" t="str">
        <f t="shared" si="10"/>
        <v/>
      </c>
    </row>
    <row r="636" spans="1:41" x14ac:dyDescent="0.2">
      <c r="A636" s="44" t="str">
        <f>IF(COUNTA(B636)&gt;0,628,"")</f>
        <v/>
      </c>
      <c r="G636" s="25" t="str">
        <f t="shared" si="0"/>
        <v/>
      </c>
      <c r="N636" s="44" t="str">
        <f>IF(COUNTA(B636)&gt;0,C5,"")</f>
        <v/>
      </c>
      <c r="AO636" t="str">
        <f t="shared" si="10"/>
        <v/>
      </c>
    </row>
    <row r="637" spans="1:41" x14ac:dyDescent="0.2">
      <c r="A637" s="44" t="str">
        <f>IF(COUNTA(B637)&gt;0,629,"")</f>
        <v/>
      </c>
      <c r="G637" s="25" t="str">
        <f t="shared" si="0"/>
        <v/>
      </c>
      <c r="N637" s="44" t="str">
        <f>IF(COUNTA(B637)&gt;0,C5,"")</f>
        <v/>
      </c>
      <c r="AO637" t="str">
        <f t="shared" si="10"/>
        <v/>
      </c>
    </row>
    <row r="638" spans="1:41" x14ac:dyDescent="0.2">
      <c r="A638" s="44" t="str">
        <f>IF(COUNTA(B638)&gt;0,630,"")</f>
        <v/>
      </c>
      <c r="G638" s="25" t="str">
        <f t="shared" si="0"/>
        <v/>
      </c>
      <c r="N638" s="44" t="str">
        <f>IF(COUNTA(B638)&gt;0,C5,"")</f>
        <v/>
      </c>
      <c r="AO638" t="str">
        <f t="shared" si="10"/>
        <v/>
      </c>
    </row>
    <row r="639" spans="1:41" x14ac:dyDescent="0.2">
      <c r="A639" s="44" t="str">
        <f>IF(COUNTA(B639)&gt;0,631,"")</f>
        <v/>
      </c>
      <c r="G639" s="25" t="str">
        <f t="shared" si="0"/>
        <v/>
      </c>
      <c r="N639" s="44" t="str">
        <f>IF(COUNTA(B639)&gt;0,C5,"")</f>
        <v/>
      </c>
      <c r="AO639" t="str">
        <f t="shared" si="10"/>
        <v/>
      </c>
    </row>
    <row r="640" spans="1:41" x14ac:dyDescent="0.2">
      <c r="A640" s="44" t="str">
        <f>IF(COUNTA(B640)&gt;0,632,"")</f>
        <v/>
      </c>
      <c r="G640" s="25" t="str">
        <f t="shared" si="0"/>
        <v/>
      </c>
      <c r="N640" s="44" t="str">
        <f>IF(COUNTA(B640)&gt;0,C5,"")</f>
        <v/>
      </c>
      <c r="AO640" t="str">
        <f t="shared" si="10"/>
        <v/>
      </c>
    </row>
    <row r="641" spans="1:41" x14ac:dyDescent="0.2">
      <c r="A641" s="44" t="str">
        <f>IF(COUNTA(B641)&gt;0,633,"")</f>
        <v/>
      </c>
      <c r="G641" s="25" t="str">
        <f t="shared" si="0"/>
        <v/>
      </c>
      <c r="N641" s="44" t="str">
        <f>IF(COUNTA(B641)&gt;0,C5,"")</f>
        <v/>
      </c>
      <c r="AO641" t="str">
        <f t="shared" si="10"/>
        <v/>
      </c>
    </row>
    <row r="642" spans="1:41" x14ac:dyDescent="0.2">
      <c r="A642" s="44" t="str">
        <f>IF(COUNTA(B642)&gt;0,634,"")</f>
        <v/>
      </c>
      <c r="G642" s="25" t="str">
        <f t="shared" si="0"/>
        <v/>
      </c>
      <c r="N642" s="44" t="str">
        <f>IF(COUNTA(B642)&gt;0,C5,"")</f>
        <v/>
      </c>
      <c r="AO642" t="str">
        <f t="shared" si="10"/>
        <v/>
      </c>
    </row>
    <row r="643" spans="1:41" x14ac:dyDescent="0.2">
      <c r="A643" s="44" t="str">
        <f>IF(COUNTA(B643)&gt;0,635,"")</f>
        <v/>
      </c>
      <c r="G643" s="25" t="str">
        <f t="shared" si="0"/>
        <v/>
      </c>
      <c r="N643" s="44" t="str">
        <f>IF(COUNTA(B643)&gt;0,C5,"")</f>
        <v/>
      </c>
      <c r="AO643" t="str">
        <f t="shared" si="10"/>
        <v/>
      </c>
    </row>
    <row r="644" spans="1:41" x14ac:dyDescent="0.2">
      <c r="A644" s="44" t="str">
        <f>IF(COUNTA(B644)&gt;0,636,"")</f>
        <v/>
      </c>
      <c r="G644" s="25" t="str">
        <f t="shared" si="0"/>
        <v/>
      </c>
      <c r="N644" s="44" t="str">
        <f>IF(COUNTA(B644)&gt;0,C5,"")</f>
        <v/>
      </c>
      <c r="AO644" t="str">
        <f t="shared" si="10"/>
        <v/>
      </c>
    </row>
    <row r="645" spans="1:41" x14ac:dyDescent="0.2">
      <c r="A645" s="44" t="str">
        <f>IF(COUNTA(B645)&gt;0,637,"")</f>
        <v/>
      </c>
      <c r="G645" s="25" t="str">
        <f t="shared" si="0"/>
        <v/>
      </c>
      <c r="N645" s="44" t="str">
        <f>IF(COUNTA(B645)&gt;0,C5,"")</f>
        <v/>
      </c>
      <c r="AO645" t="str">
        <f t="shared" si="10"/>
        <v/>
      </c>
    </row>
    <row r="646" spans="1:41" x14ac:dyDescent="0.2">
      <c r="A646" s="44" t="str">
        <f>IF(COUNTA(B646)&gt;0,638,"")</f>
        <v/>
      </c>
      <c r="G646" s="25" t="str">
        <f t="shared" si="0"/>
        <v/>
      </c>
      <c r="N646" s="44" t="str">
        <f>IF(COUNTA(B646)&gt;0,C5,"")</f>
        <v/>
      </c>
      <c r="AO646" t="str">
        <f t="shared" si="10"/>
        <v/>
      </c>
    </row>
    <row r="647" spans="1:41" x14ac:dyDescent="0.2">
      <c r="A647" s="44" t="str">
        <f>IF(COUNTA(B647)&gt;0,639,"")</f>
        <v/>
      </c>
      <c r="G647" s="25" t="str">
        <f t="shared" si="0"/>
        <v/>
      </c>
      <c r="N647" s="44" t="str">
        <f>IF(COUNTA(B647)&gt;0,C5,"")</f>
        <v/>
      </c>
      <c r="AO647" t="str">
        <f t="shared" si="10"/>
        <v/>
      </c>
    </row>
    <row r="648" spans="1:41" x14ac:dyDescent="0.2">
      <c r="A648" s="44" t="str">
        <f>IF(COUNTA(B648)&gt;0,640,"")</f>
        <v/>
      </c>
      <c r="G648" s="25" t="str">
        <f t="shared" si="0"/>
        <v/>
      </c>
      <c r="N648" s="44" t="str">
        <f>IF(COUNTA(B648)&gt;0,C5,"")</f>
        <v/>
      </c>
      <c r="AO648" t="str">
        <f t="shared" si="10"/>
        <v/>
      </c>
    </row>
    <row r="649" spans="1:41" x14ac:dyDescent="0.2">
      <c r="A649" s="44" t="str">
        <f>IF(COUNTA(B649)&gt;0,641,"")</f>
        <v/>
      </c>
      <c r="G649" s="25" t="str">
        <f t="shared" si="0"/>
        <v/>
      </c>
      <c r="N649" s="44" t="str">
        <f>IF(COUNTA(B649)&gt;0,C5,"")</f>
        <v/>
      </c>
      <c r="AO649" t="str">
        <f t="shared" ref="AO649:AO712" si="11">IF(COUNTA(L649:M649)&lt;&gt;0,"Có",IF(COUNTA(B649)&gt;0,"Không",""))</f>
        <v/>
      </c>
    </row>
    <row r="650" spans="1:41" x14ac:dyDescent="0.2">
      <c r="A650" s="44" t="str">
        <f>IF(COUNTA(B650)&gt;0,642,"")</f>
        <v/>
      </c>
      <c r="G650" s="25" t="str">
        <f t="shared" si="0"/>
        <v/>
      </c>
      <c r="N650" s="44" t="str">
        <f>IF(COUNTA(B650)&gt;0,C5,"")</f>
        <v/>
      </c>
      <c r="AO650" t="str">
        <f t="shared" si="11"/>
        <v/>
      </c>
    </row>
    <row r="651" spans="1:41" x14ac:dyDescent="0.2">
      <c r="A651" s="44" t="str">
        <f>IF(COUNTA(B651)&gt;0,643,"")</f>
        <v/>
      </c>
      <c r="G651" s="25" t="str">
        <f t="shared" si="0"/>
        <v/>
      </c>
      <c r="N651" s="44" t="str">
        <f>IF(COUNTA(B651)&gt;0,C5,"")</f>
        <v/>
      </c>
      <c r="AO651" t="str">
        <f t="shared" si="11"/>
        <v/>
      </c>
    </row>
    <row r="652" spans="1:41" x14ac:dyDescent="0.2">
      <c r="A652" s="44" t="str">
        <f>IF(COUNTA(B652)&gt;0,644,"")</f>
        <v/>
      </c>
      <c r="G652" s="25" t="str">
        <f t="shared" si="0"/>
        <v/>
      </c>
      <c r="N652" s="44" t="str">
        <f>IF(COUNTA(B652)&gt;0,C5,"")</f>
        <v/>
      </c>
      <c r="AO652" t="str">
        <f t="shared" si="11"/>
        <v/>
      </c>
    </row>
    <row r="653" spans="1:41" x14ac:dyDescent="0.2">
      <c r="A653" s="44" t="str">
        <f>IF(COUNTA(B653)&gt;0,645,"")</f>
        <v/>
      </c>
      <c r="G653" s="25" t="str">
        <f t="shared" si="0"/>
        <v/>
      </c>
      <c r="N653" s="44" t="str">
        <f>IF(COUNTA(B653)&gt;0,C5,"")</f>
        <v/>
      </c>
      <c r="AO653" t="str">
        <f t="shared" si="11"/>
        <v/>
      </c>
    </row>
    <row r="654" spans="1:41" x14ac:dyDescent="0.2">
      <c r="A654" s="44" t="str">
        <f>IF(COUNTA(B654)&gt;0,646,"")</f>
        <v/>
      </c>
      <c r="G654" s="25" t="str">
        <f t="shared" si="0"/>
        <v/>
      </c>
      <c r="N654" s="44" t="str">
        <f>IF(COUNTA(B654)&gt;0,C5,"")</f>
        <v/>
      </c>
      <c r="AO654" t="str">
        <f t="shared" si="11"/>
        <v/>
      </c>
    </row>
    <row r="655" spans="1:41" x14ac:dyDescent="0.2">
      <c r="A655" s="44" t="str">
        <f>IF(COUNTA(B655)&gt;0,647,"")</f>
        <v/>
      </c>
      <c r="G655" s="25" t="str">
        <f t="shared" si="0"/>
        <v/>
      </c>
      <c r="N655" s="44" t="str">
        <f>IF(COUNTA(B655)&gt;0,C5,"")</f>
        <v/>
      </c>
      <c r="AO655" t="str">
        <f t="shared" si="11"/>
        <v/>
      </c>
    </row>
    <row r="656" spans="1:41" x14ac:dyDescent="0.2">
      <c r="A656" s="44" t="str">
        <f>IF(COUNTA(B656)&gt;0,648,"")</f>
        <v/>
      </c>
      <c r="G656" s="25" t="str">
        <f t="shared" si="0"/>
        <v/>
      </c>
      <c r="N656" s="44" t="str">
        <f>IF(COUNTA(B656)&gt;0,C5,"")</f>
        <v/>
      </c>
      <c r="AO656" t="str">
        <f t="shared" si="11"/>
        <v/>
      </c>
    </row>
    <row r="657" spans="1:41" x14ac:dyDescent="0.2">
      <c r="A657" s="44" t="str">
        <f>IF(COUNTA(B657)&gt;0,649,"")</f>
        <v/>
      </c>
      <c r="G657" s="25" t="str">
        <f t="shared" si="0"/>
        <v/>
      </c>
      <c r="N657" s="44" t="str">
        <f>IF(COUNTA(B657)&gt;0,C5,"")</f>
        <v/>
      </c>
      <c r="AO657" t="str">
        <f t="shared" si="11"/>
        <v/>
      </c>
    </row>
    <row r="658" spans="1:41" x14ac:dyDescent="0.2">
      <c r="A658" s="44" t="str">
        <f>IF(COUNTA(B658)&gt;0,650,"")</f>
        <v/>
      </c>
      <c r="G658" s="25" t="str">
        <f t="shared" si="0"/>
        <v/>
      </c>
      <c r="N658" s="44" t="str">
        <f>IF(COUNTA(B658)&gt;0,C5,"")</f>
        <v/>
      </c>
      <c r="AO658" t="str">
        <f t="shared" si="11"/>
        <v/>
      </c>
    </row>
    <row r="659" spans="1:41" x14ac:dyDescent="0.2">
      <c r="A659" s="44" t="str">
        <f>IF(COUNTA(B659)&gt;0,651,"")</f>
        <v/>
      </c>
      <c r="G659" s="25" t="str">
        <f t="shared" si="0"/>
        <v/>
      </c>
      <c r="N659" s="44" t="str">
        <f>IF(COUNTA(B659)&gt;0,C5,"")</f>
        <v/>
      </c>
      <c r="AO659" t="str">
        <f t="shared" si="11"/>
        <v/>
      </c>
    </row>
    <row r="660" spans="1:41" x14ac:dyDescent="0.2">
      <c r="A660" s="44" t="str">
        <f>IF(COUNTA(B660)&gt;0,652,"")</f>
        <v/>
      </c>
      <c r="G660" s="25" t="str">
        <f t="shared" si="0"/>
        <v/>
      </c>
      <c r="N660" s="44" t="str">
        <f>IF(COUNTA(B660)&gt;0,C5,"")</f>
        <v/>
      </c>
      <c r="AO660" t="str">
        <f t="shared" si="11"/>
        <v/>
      </c>
    </row>
    <row r="661" spans="1:41" x14ac:dyDescent="0.2">
      <c r="A661" s="44" t="str">
        <f>IF(COUNTA(B661)&gt;0,653,"")</f>
        <v/>
      </c>
      <c r="G661" s="25" t="str">
        <f t="shared" si="0"/>
        <v/>
      </c>
      <c r="N661" s="44" t="str">
        <f>IF(COUNTA(B661)&gt;0,C5,"")</f>
        <v/>
      </c>
      <c r="AO661" t="str">
        <f t="shared" si="11"/>
        <v/>
      </c>
    </row>
    <row r="662" spans="1:41" x14ac:dyDescent="0.2">
      <c r="A662" s="44" t="str">
        <f>IF(COUNTA(B662)&gt;0,654,"")</f>
        <v/>
      </c>
      <c r="G662" s="25" t="str">
        <f t="shared" si="0"/>
        <v/>
      </c>
      <c r="N662" s="44" t="str">
        <f>IF(COUNTA(B662)&gt;0,C5,"")</f>
        <v/>
      </c>
      <c r="AO662" t="str">
        <f t="shared" si="11"/>
        <v/>
      </c>
    </row>
    <row r="663" spans="1:41" x14ac:dyDescent="0.2">
      <c r="A663" s="44" t="str">
        <f>IF(COUNTA(B663)&gt;0,655,"")</f>
        <v/>
      </c>
      <c r="G663" s="25" t="str">
        <f t="shared" si="0"/>
        <v/>
      </c>
      <c r="N663" s="44" t="str">
        <f>IF(COUNTA(B663)&gt;0,C5,"")</f>
        <v/>
      </c>
      <c r="AO663" t="str">
        <f t="shared" si="11"/>
        <v/>
      </c>
    </row>
    <row r="664" spans="1:41" x14ac:dyDescent="0.2">
      <c r="A664" s="44" t="str">
        <f>IF(COUNTA(B664)&gt;0,656,"")</f>
        <v/>
      </c>
      <c r="G664" s="25" t="str">
        <f t="shared" si="0"/>
        <v/>
      </c>
      <c r="N664" s="44" t="str">
        <f>IF(COUNTA(B664)&gt;0,C5,"")</f>
        <v/>
      </c>
      <c r="AO664" t="str">
        <f t="shared" si="11"/>
        <v/>
      </c>
    </row>
    <row r="665" spans="1:41" x14ac:dyDescent="0.2">
      <c r="A665" s="44" t="str">
        <f>IF(COUNTA(B665)&gt;0,657,"")</f>
        <v/>
      </c>
      <c r="G665" s="25" t="str">
        <f t="shared" si="0"/>
        <v/>
      </c>
      <c r="N665" s="44" t="str">
        <f>IF(COUNTA(B665)&gt;0,C5,"")</f>
        <v/>
      </c>
      <c r="AO665" t="str">
        <f t="shared" si="11"/>
        <v/>
      </c>
    </row>
    <row r="666" spans="1:41" x14ac:dyDescent="0.2">
      <c r="A666" s="44" t="str">
        <f>IF(COUNTA(B666)&gt;0,658,"")</f>
        <v/>
      </c>
      <c r="G666" s="25" t="str">
        <f t="shared" si="0"/>
        <v/>
      </c>
      <c r="N666" s="44" t="str">
        <f>IF(COUNTA(B666)&gt;0,C5,"")</f>
        <v/>
      </c>
      <c r="AO666" t="str">
        <f t="shared" si="11"/>
        <v/>
      </c>
    </row>
    <row r="667" spans="1:41" x14ac:dyDescent="0.2">
      <c r="A667" s="44" t="str">
        <f>IF(COUNTA(B667)&gt;0,659,"")</f>
        <v/>
      </c>
      <c r="G667" s="25" t="str">
        <f t="shared" si="0"/>
        <v/>
      </c>
      <c r="N667" s="44" t="str">
        <f>IF(COUNTA(B667)&gt;0,C5,"")</f>
        <v/>
      </c>
      <c r="AO667" t="str">
        <f t="shared" si="11"/>
        <v/>
      </c>
    </row>
    <row r="668" spans="1:41" x14ac:dyDescent="0.2">
      <c r="A668" s="44" t="str">
        <f>IF(COUNTA(B668)&gt;0,660,"")</f>
        <v/>
      </c>
      <c r="G668" s="25" t="str">
        <f t="shared" si="0"/>
        <v/>
      </c>
      <c r="N668" s="44" t="str">
        <f>IF(COUNTA(B668)&gt;0,C5,"")</f>
        <v/>
      </c>
      <c r="AO668" t="str">
        <f t="shared" si="11"/>
        <v/>
      </c>
    </row>
    <row r="669" spans="1:41" x14ac:dyDescent="0.2">
      <c r="A669" s="44" t="str">
        <f>IF(COUNTA(B669)&gt;0,661,"")</f>
        <v/>
      </c>
      <c r="G669" s="25" t="str">
        <f t="shared" si="0"/>
        <v/>
      </c>
      <c r="N669" s="44" t="str">
        <f>IF(COUNTA(B669)&gt;0,C5,"")</f>
        <v/>
      </c>
      <c r="AO669" t="str">
        <f t="shared" si="11"/>
        <v/>
      </c>
    </row>
    <row r="670" spans="1:41" x14ac:dyDescent="0.2">
      <c r="A670" s="44" t="str">
        <f>IF(COUNTA(B670)&gt;0,662,"")</f>
        <v/>
      </c>
      <c r="G670" s="25" t="str">
        <f t="shared" si="0"/>
        <v/>
      </c>
      <c r="N670" s="44" t="str">
        <f>IF(COUNTA(B670)&gt;0,C5,"")</f>
        <v/>
      </c>
      <c r="AO670" t="str">
        <f t="shared" si="11"/>
        <v/>
      </c>
    </row>
    <row r="671" spans="1:41" x14ac:dyDescent="0.2">
      <c r="A671" s="44" t="str">
        <f>IF(COUNTA(B671)&gt;0,663,"")</f>
        <v/>
      </c>
      <c r="G671" s="25" t="str">
        <f t="shared" si="0"/>
        <v/>
      </c>
      <c r="N671" s="44" t="str">
        <f>IF(COUNTA(B671)&gt;0,C5,"")</f>
        <v/>
      </c>
      <c r="AO671" t="str">
        <f t="shared" si="11"/>
        <v/>
      </c>
    </row>
    <row r="672" spans="1:41" x14ac:dyDescent="0.2">
      <c r="A672" s="44" t="str">
        <f>IF(COUNTA(B672)&gt;0,664,"")</f>
        <v/>
      </c>
      <c r="G672" s="25" t="str">
        <f t="shared" si="0"/>
        <v/>
      </c>
      <c r="N672" s="44" t="str">
        <f>IF(COUNTA(B672)&gt;0,C5,"")</f>
        <v/>
      </c>
      <c r="AO672" t="str">
        <f t="shared" si="11"/>
        <v/>
      </c>
    </row>
    <row r="673" spans="1:41" x14ac:dyDescent="0.2">
      <c r="A673" s="44" t="str">
        <f>IF(COUNTA(B673)&gt;0,665,"")</f>
        <v/>
      </c>
      <c r="G673" s="25" t="str">
        <f t="shared" si="0"/>
        <v/>
      </c>
      <c r="N673" s="44" t="str">
        <f>IF(COUNTA(B673)&gt;0,C5,"")</f>
        <v/>
      </c>
      <c r="AO673" t="str">
        <f t="shared" si="11"/>
        <v/>
      </c>
    </row>
    <row r="674" spans="1:41" x14ac:dyDescent="0.2">
      <c r="A674" s="44" t="str">
        <f>IF(COUNTA(B674)&gt;0,666,"")</f>
        <v/>
      </c>
      <c r="G674" s="25" t="str">
        <f t="shared" si="0"/>
        <v/>
      </c>
      <c r="N674" s="44" t="str">
        <f>IF(COUNTA(B674)&gt;0,C5,"")</f>
        <v/>
      </c>
      <c r="AO674" t="str">
        <f t="shared" si="11"/>
        <v/>
      </c>
    </row>
    <row r="675" spans="1:41" x14ac:dyDescent="0.2">
      <c r="A675" s="44" t="str">
        <f>IF(COUNTA(B675)&gt;0,667,"")</f>
        <v/>
      </c>
      <c r="G675" s="25" t="str">
        <f t="shared" si="0"/>
        <v/>
      </c>
      <c r="N675" s="44" t="str">
        <f>IF(COUNTA(B675)&gt;0,C5,"")</f>
        <v/>
      </c>
      <c r="AO675" t="str">
        <f t="shared" si="11"/>
        <v/>
      </c>
    </row>
    <row r="676" spans="1:41" x14ac:dyDescent="0.2">
      <c r="A676" s="44" t="str">
        <f>IF(COUNTA(B676)&gt;0,668,"")</f>
        <v/>
      </c>
      <c r="G676" s="25" t="str">
        <f t="shared" si="0"/>
        <v/>
      </c>
      <c r="N676" s="44" t="str">
        <f>IF(COUNTA(B676)&gt;0,C5,"")</f>
        <v/>
      </c>
      <c r="AO676" t="str">
        <f t="shared" si="11"/>
        <v/>
      </c>
    </row>
    <row r="677" spans="1:41" x14ac:dyDescent="0.2">
      <c r="A677" s="44" t="str">
        <f>IF(COUNTA(B677)&gt;0,669,"")</f>
        <v/>
      </c>
      <c r="G677" s="25" t="str">
        <f t="shared" si="0"/>
        <v/>
      </c>
      <c r="N677" s="44" t="str">
        <f>IF(COUNTA(B677)&gt;0,C5,"")</f>
        <v/>
      </c>
      <c r="AO677" t="str">
        <f t="shared" si="11"/>
        <v/>
      </c>
    </row>
    <row r="678" spans="1:41" x14ac:dyDescent="0.2">
      <c r="A678" s="44" t="str">
        <f>IF(COUNTA(B678)&gt;0,670,"")</f>
        <v/>
      </c>
      <c r="G678" s="25" t="str">
        <f t="shared" si="0"/>
        <v/>
      </c>
      <c r="N678" s="44" t="str">
        <f>IF(COUNTA(B678)&gt;0,C5,"")</f>
        <v/>
      </c>
      <c r="AO678" t="str">
        <f t="shared" si="11"/>
        <v/>
      </c>
    </row>
    <row r="679" spans="1:41" x14ac:dyDescent="0.2">
      <c r="A679" s="44" t="str">
        <f>IF(COUNTA(B679)&gt;0,671,"")</f>
        <v/>
      </c>
      <c r="G679" s="25" t="str">
        <f t="shared" si="0"/>
        <v/>
      </c>
      <c r="N679" s="44" t="str">
        <f>IF(COUNTA(B679)&gt;0,C5,"")</f>
        <v/>
      </c>
      <c r="AO679" t="str">
        <f t="shared" si="11"/>
        <v/>
      </c>
    </row>
    <row r="680" spans="1:41" x14ac:dyDescent="0.2">
      <c r="A680" s="44" t="str">
        <f>IF(COUNTA(B680)&gt;0,672,"")</f>
        <v/>
      </c>
      <c r="G680" s="25" t="str">
        <f t="shared" si="0"/>
        <v/>
      </c>
      <c r="N680" s="44" t="str">
        <f>IF(COUNTA(B680)&gt;0,C5,"")</f>
        <v/>
      </c>
      <c r="AO680" t="str">
        <f t="shared" si="11"/>
        <v/>
      </c>
    </row>
    <row r="681" spans="1:41" x14ac:dyDescent="0.2">
      <c r="A681" s="44" t="str">
        <f>IF(COUNTA(B681)&gt;0,673,"")</f>
        <v/>
      </c>
      <c r="G681" s="25" t="str">
        <f t="shared" si="0"/>
        <v/>
      </c>
      <c r="N681" s="44" t="str">
        <f>IF(COUNTA(B681)&gt;0,C5,"")</f>
        <v/>
      </c>
      <c r="AO681" t="str">
        <f t="shared" si="11"/>
        <v/>
      </c>
    </row>
    <row r="682" spans="1:41" x14ac:dyDescent="0.2">
      <c r="A682" s="44" t="str">
        <f>IF(COUNTA(B682)&gt;0,674,"")</f>
        <v/>
      </c>
      <c r="G682" s="25" t="str">
        <f t="shared" si="0"/>
        <v/>
      </c>
      <c r="N682" s="44" t="str">
        <f>IF(COUNTA(B682)&gt;0,C5,"")</f>
        <v/>
      </c>
      <c r="AO682" t="str">
        <f t="shared" si="11"/>
        <v/>
      </c>
    </row>
    <row r="683" spans="1:41" x14ac:dyDescent="0.2">
      <c r="A683" s="44" t="str">
        <f>IF(COUNTA(B683)&gt;0,675,"")</f>
        <v/>
      </c>
      <c r="G683" s="25" t="str">
        <f t="shared" si="0"/>
        <v/>
      </c>
      <c r="N683" s="44" t="str">
        <f>IF(COUNTA(B683)&gt;0,C5,"")</f>
        <v/>
      </c>
      <c r="AO683" t="str">
        <f t="shared" si="11"/>
        <v/>
      </c>
    </row>
    <row r="684" spans="1:41" x14ac:dyDescent="0.2">
      <c r="A684" s="44" t="str">
        <f>IF(COUNTA(B684)&gt;0,676,"")</f>
        <v/>
      </c>
      <c r="G684" s="25" t="str">
        <f t="shared" si="0"/>
        <v/>
      </c>
      <c r="N684" s="44" t="str">
        <f>IF(COUNTA(B684)&gt;0,C5,"")</f>
        <v/>
      </c>
      <c r="AO684" t="str">
        <f t="shared" si="11"/>
        <v/>
      </c>
    </row>
    <row r="685" spans="1:41" x14ac:dyDescent="0.2">
      <c r="A685" s="44" t="str">
        <f>IF(COUNTA(B685)&gt;0,677,"")</f>
        <v/>
      </c>
      <c r="G685" s="25" t="str">
        <f t="shared" si="0"/>
        <v/>
      </c>
      <c r="N685" s="44" t="str">
        <f>IF(COUNTA(B685)&gt;0,C5,"")</f>
        <v/>
      </c>
      <c r="AO685" t="str">
        <f t="shared" si="11"/>
        <v/>
      </c>
    </row>
    <row r="686" spans="1:41" x14ac:dyDescent="0.2">
      <c r="A686" s="44" t="str">
        <f>IF(COUNTA(B686)&gt;0,678,"")</f>
        <v/>
      </c>
      <c r="G686" s="25" t="str">
        <f t="shared" si="0"/>
        <v/>
      </c>
      <c r="N686" s="44" t="str">
        <f>IF(COUNTA(B686)&gt;0,C5,"")</f>
        <v/>
      </c>
      <c r="AO686" t="str">
        <f t="shared" si="11"/>
        <v/>
      </c>
    </row>
    <row r="687" spans="1:41" x14ac:dyDescent="0.2">
      <c r="A687" s="44" t="str">
        <f>IF(COUNTA(B687)&gt;0,679,"")</f>
        <v/>
      </c>
      <c r="G687" s="25" t="str">
        <f t="shared" si="0"/>
        <v/>
      </c>
      <c r="N687" s="44" t="str">
        <f>IF(COUNTA(B687)&gt;0,C5,"")</f>
        <v/>
      </c>
      <c r="AO687" t="str">
        <f t="shared" si="11"/>
        <v/>
      </c>
    </row>
    <row r="688" spans="1:41" x14ac:dyDescent="0.2">
      <c r="A688" s="44" t="str">
        <f>IF(COUNTA(B688)&gt;0,680,"")</f>
        <v/>
      </c>
      <c r="G688" s="25" t="str">
        <f t="shared" si="0"/>
        <v/>
      </c>
      <c r="N688" s="44" t="str">
        <f>IF(COUNTA(B688)&gt;0,C5,"")</f>
        <v/>
      </c>
      <c r="AO688" t="str">
        <f t="shared" si="11"/>
        <v/>
      </c>
    </row>
    <row r="689" spans="1:41" x14ac:dyDescent="0.2">
      <c r="A689" s="44" t="str">
        <f>IF(COUNTA(B689)&gt;0,681,"")</f>
        <v/>
      </c>
      <c r="G689" s="25" t="str">
        <f t="shared" si="0"/>
        <v/>
      </c>
      <c r="N689" s="44" t="str">
        <f>IF(COUNTA(B689)&gt;0,C5,"")</f>
        <v/>
      </c>
      <c r="AO689" t="str">
        <f t="shared" si="11"/>
        <v/>
      </c>
    </row>
    <row r="690" spans="1:41" x14ac:dyDescent="0.2">
      <c r="A690" s="44" t="str">
        <f>IF(COUNTA(B690)&gt;0,682,"")</f>
        <v/>
      </c>
      <c r="G690" s="25" t="str">
        <f t="shared" si="0"/>
        <v/>
      </c>
      <c r="N690" s="44" t="str">
        <f>IF(COUNTA(B690)&gt;0,C5,"")</f>
        <v/>
      </c>
      <c r="AO690" t="str">
        <f t="shared" si="11"/>
        <v/>
      </c>
    </row>
    <row r="691" spans="1:41" x14ac:dyDescent="0.2">
      <c r="A691" s="44" t="str">
        <f>IF(COUNTA(B691)&gt;0,683,"")</f>
        <v/>
      </c>
      <c r="G691" s="25" t="str">
        <f t="shared" si="0"/>
        <v/>
      </c>
      <c r="N691" s="44" t="str">
        <f>IF(COUNTA(B691)&gt;0,C5,"")</f>
        <v/>
      </c>
      <c r="AO691" t="str">
        <f t="shared" si="11"/>
        <v/>
      </c>
    </row>
    <row r="692" spans="1:41" x14ac:dyDescent="0.2">
      <c r="A692" s="44" t="str">
        <f>IF(COUNTA(B692)&gt;0,684,"")</f>
        <v/>
      </c>
      <c r="G692" s="25" t="str">
        <f t="shared" si="0"/>
        <v/>
      </c>
      <c r="N692" s="44" t="str">
        <f>IF(COUNTA(B692)&gt;0,C5,"")</f>
        <v/>
      </c>
      <c r="AO692" t="str">
        <f t="shared" si="11"/>
        <v/>
      </c>
    </row>
    <row r="693" spans="1:41" x14ac:dyDescent="0.2">
      <c r="A693" s="44" t="str">
        <f>IF(COUNTA(B693)&gt;0,685,"")</f>
        <v/>
      </c>
      <c r="G693" s="25" t="str">
        <f t="shared" si="0"/>
        <v/>
      </c>
      <c r="N693" s="44" t="str">
        <f>IF(COUNTA(B693)&gt;0,C5,"")</f>
        <v/>
      </c>
      <c r="AO693" t="str">
        <f t="shared" si="11"/>
        <v/>
      </c>
    </row>
    <row r="694" spans="1:41" x14ac:dyDescent="0.2">
      <c r="A694" s="44" t="str">
        <f>IF(COUNTA(B694)&gt;0,686,"")</f>
        <v/>
      </c>
      <c r="G694" s="25" t="str">
        <f t="shared" si="0"/>
        <v/>
      </c>
      <c r="N694" s="44" t="str">
        <f>IF(COUNTA(B694)&gt;0,C5,"")</f>
        <v/>
      </c>
      <c r="AO694" t="str">
        <f t="shared" si="11"/>
        <v/>
      </c>
    </row>
    <row r="695" spans="1:41" x14ac:dyDescent="0.2">
      <c r="A695" s="44" t="str">
        <f>IF(COUNTA(B695)&gt;0,687,"")</f>
        <v/>
      </c>
      <c r="G695" s="25" t="str">
        <f t="shared" si="0"/>
        <v/>
      </c>
      <c r="N695" s="44" t="str">
        <f>IF(COUNTA(B695)&gt;0,C5,"")</f>
        <v/>
      </c>
      <c r="AO695" t="str">
        <f t="shared" si="11"/>
        <v/>
      </c>
    </row>
    <row r="696" spans="1:41" x14ac:dyDescent="0.2">
      <c r="A696" s="44" t="str">
        <f>IF(COUNTA(B696)&gt;0,688,"")</f>
        <v/>
      </c>
      <c r="G696" s="25" t="str">
        <f t="shared" si="0"/>
        <v/>
      </c>
      <c r="N696" s="44" t="str">
        <f>IF(COUNTA(B696)&gt;0,C5,"")</f>
        <v/>
      </c>
      <c r="AO696" t="str">
        <f t="shared" si="11"/>
        <v/>
      </c>
    </row>
    <row r="697" spans="1:41" x14ac:dyDescent="0.2">
      <c r="A697" s="44" t="str">
        <f>IF(COUNTA(B697)&gt;0,689,"")</f>
        <v/>
      </c>
      <c r="G697" s="25" t="str">
        <f t="shared" si="0"/>
        <v/>
      </c>
      <c r="N697" s="44" t="str">
        <f>IF(COUNTA(B697)&gt;0,C5,"")</f>
        <v/>
      </c>
      <c r="AO697" t="str">
        <f t="shared" si="11"/>
        <v/>
      </c>
    </row>
    <row r="698" spans="1:41" x14ac:dyDescent="0.2">
      <c r="A698" s="44" t="str">
        <f>IF(COUNTA(B698)&gt;0,690,"")</f>
        <v/>
      </c>
      <c r="G698" s="25" t="str">
        <f t="shared" si="0"/>
        <v/>
      </c>
      <c r="N698" s="44" t="str">
        <f>IF(COUNTA(B698)&gt;0,C5,"")</f>
        <v/>
      </c>
      <c r="AO698" t="str">
        <f t="shared" si="11"/>
        <v/>
      </c>
    </row>
    <row r="699" spans="1:41" x14ac:dyDescent="0.2">
      <c r="A699" s="44" t="str">
        <f>IF(COUNTA(B699)&gt;0,691,"")</f>
        <v/>
      </c>
      <c r="G699" s="25" t="str">
        <f t="shared" si="0"/>
        <v/>
      </c>
      <c r="N699" s="44" t="str">
        <f>IF(COUNTA(B699)&gt;0,C5,"")</f>
        <v/>
      </c>
      <c r="AO699" t="str">
        <f t="shared" si="11"/>
        <v/>
      </c>
    </row>
    <row r="700" spans="1:41" x14ac:dyDescent="0.2">
      <c r="A700" s="44" t="str">
        <f>IF(COUNTA(B700)&gt;0,692,"")</f>
        <v/>
      </c>
      <c r="G700" s="25" t="str">
        <f t="shared" si="0"/>
        <v/>
      </c>
      <c r="N700" s="44" t="str">
        <f>IF(COUNTA(B700)&gt;0,C5,"")</f>
        <v/>
      </c>
      <c r="AO700" t="str">
        <f t="shared" si="11"/>
        <v/>
      </c>
    </row>
    <row r="701" spans="1:41" x14ac:dyDescent="0.2">
      <c r="A701" s="44" t="str">
        <f>IF(COUNTA(B701)&gt;0,693,"")</f>
        <v/>
      </c>
      <c r="G701" s="25" t="str">
        <f t="shared" si="0"/>
        <v/>
      </c>
      <c r="N701" s="44" t="str">
        <f>IF(COUNTA(B701)&gt;0,C5,"")</f>
        <v/>
      </c>
      <c r="AO701" t="str">
        <f t="shared" si="11"/>
        <v/>
      </c>
    </row>
    <row r="702" spans="1:41" x14ac:dyDescent="0.2">
      <c r="A702" s="44" t="str">
        <f>IF(COUNTA(B702)&gt;0,694,"")</f>
        <v/>
      </c>
      <c r="G702" s="25" t="str">
        <f t="shared" si="0"/>
        <v/>
      </c>
      <c r="N702" s="44" t="str">
        <f>IF(COUNTA(B702)&gt;0,C5,"")</f>
        <v/>
      </c>
      <c r="AO702" t="str">
        <f t="shared" si="11"/>
        <v/>
      </c>
    </row>
    <row r="703" spans="1:41" x14ac:dyDescent="0.2">
      <c r="A703" s="44" t="str">
        <f>IF(COUNTA(B703)&gt;0,695,"")</f>
        <v/>
      </c>
      <c r="G703" s="25" t="str">
        <f t="shared" si="0"/>
        <v/>
      </c>
      <c r="N703" s="44" t="str">
        <f>IF(COUNTA(B703)&gt;0,C5,"")</f>
        <v/>
      </c>
      <c r="AO703" t="str">
        <f t="shared" si="11"/>
        <v/>
      </c>
    </row>
    <row r="704" spans="1:41" x14ac:dyDescent="0.2">
      <c r="A704" s="44" t="str">
        <f>IF(COUNTA(B704)&gt;0,696,"")</f>
        <v/>
      </c>
      <c r="G704" s="25" t="str">
        <f t="shared" si="0"/>
        <v/>
      </c>
      <c r="N704" s="44" t="str">
        <f>IF(COUNTA(B704)&gt;0,C5,"")</f>
        <v/>
      </c>
      <c r="AO704" t="str">
        <f t="shared" si="11"/>
        <v/>
      </c>
    </row>
    <row r="705" spans="1:41" x14ac:dyDescent="0.2">
      <c r="A705" s="44" t="str">
        <f>IF(COUNTA(B705)&gt;0,697,"")</f>
        <v/>
      </c>
      <c r="G705" s="25" t="str">
        <f t="shared" si="0"/>
        <v/>
      </c>
      <c r="N705" s="44" t="str">
        <f>IF(COUNTA(B705)&gt;0,C5,"")</f>
        <v/>
      </c>
      <c r="AO705" t="str">
        <f t="shared" si="11"/>
        <v/>
      </c>
    </row>
    <row r="706" spans="1:41" x14ac:dyDescent="0.2">
      <c r="A706" s="44" t="str">
        <f>IF(COUNTA(B706)&gt;0,698,"")</f>
        <v/>
      </c>
      <c r="G706" s="25" t="str">
        <f t="shared" si="0"/>
        <v/>
      </c>
      <c r="N706" s="44" t="str">
        <f>IF(COUNTA(B706)&gt;0,C5,"")</f>
        <v/>
      </c>
      <c r="AO706" t="str">
        <f t="shared" si="11"/>
        <v/>
      </c>
    </row>
    <row r="707" spans="1:41" x14ac:dyDescent="0.2">
      <c r="A707" s="44" t="str">
        <f>IF(COUNTA(B707)&gt;0,699,"")</f>
        <v/>
      </c>
      <c r="G707" s="25" t="str">
        <f t="shared" si="0"/>
        <v/>
      </c>
      <c r="N707" s="44" t="str">
        <f>IF(COUNTA(B707)&gt;0,C5,"")</f>
        <v/>
      </c>
      <c r="AO707" t="str">
        <f t="shared" si="11"/>
        <v/>
      </c>
    </row>
    <row r="708" spans="1:41" x14ac:dyDescent="0.2">
      <c r="A708" s="44" t="str">
        <f>IF(COUNTA(B708)&gt;0,700,"")</f>
        <v/>
      </c>
      <c r="G708" s="25" t="str">
        <f t="shared" si="0"/>
        <v/>
      </c>
      <c r="N708" s="44" t="str">
        <f>IF(COUNTA(B708)&gt;0,C5,"")</f>
        <v/>
      </c>
      <c r="AO708" t="str">
        <f t="shared" si="11"/>
        <v/>
      </c>
    </row>
    <row r="709" spans="1:41" x14ac:dyDescent="0.2">
      <c r="A709" s="44" t="str">
        <f>IF(COUNTA(B709)&gt;0,701,"")</f>
        <v/>
      </c>
      <c r="G709" s="25" t="str">
        <f t="shared" si="0"/>
        <v/>
      </c>
      <c r="N709" s="44" t="str">
        <f>IF(COUNTA(B709)&gt;0,C5,"")</f>
        <v/>
      </c>
      <c r="AO709" t="str">
        <f t="shared" si="11"/>
        <v/>
      </c>
    </row>
    <row r="710" spans="1:41" x14ac:dyDescent="0.2">
      <c r="A710" s="44" t="str">
        <f>IF(COUNTA(B710)&gt;0,702,"")</f>
        <v/>
      </c>
      <c r="G710" s="25" t="str">
        <f t="shared" si="0"/>
        <v/>
      </c>
      <c r="N710" s="44" t="str">
        <f>IF(COUNTA(B710)&gt;0,C5,"")</f>
        <v/>
      </c>
      <c r="AO710" t="str">
        <f t="shared" si="11"/>
        <v/>
      </c>
    </row>
    <row r="711" spans="1:41" x14ac:dyDescent="0.2">
      <c r="A711" s="44" t="str">
        <f>IF(COUNTA(B711)&gt;0,703,"")</f>
        <v/>
      </c>
      <c r="G711" s="25" t="str">
        <f t="shared" si="0"/>
        <v/>
      </c>
      <c r="N711" s="44" t="str">
        <f>IF(COUNTA(B711)&gt;0,C5,"")</f>
        <v/>
      </c>
      <c r="AO711" t="str">
        <f t="shared" si="11"/>
        <v/>
      </c>
    </row>
    <row r="712" spans="1:41" x14ac:dyDescent="0.2">
      <c r="A712" s="44" t="str">
        <f>IF(COUNTA(B712)&gt;0,704,"")</f>
        <v/>
      </c>
      <c r="G712" s="25" t="str">
        <f t="shared" si="0"/>
        <v/>
      </c>
      <c r="N712" s="44" t="str">
        <f>IF(COUNTA(B712)&gt;0,C5,"")</f>
        <v/>
      </c>
      <c r="AO712" t="str">
        <f t="shared" si="11"/>
        <v/>
      </c>
    </row>
    <row r="713" spans="1:41" x14ac:dyDescent="0.2">
      <c r="A713" s="44" t="str">
        <f>IF(COUNTA(B713)&gt;0,705,"")</f>
        <v/>
      </c>
      <c r="G713" s="25" t="str">
        <f t="shared" si="0"/>
        <v/>
      </c>
      <c r="N713" s="44" t="str">
        <f>IF(COUNTA(B713)&gt;0,C5,"")</f>
        <v/>
      </c>
      <c r="AO713" t="str">
        <f t="shared" ref="AO713:AO776" si="12">IF(COUNTA(L713:M713)&lt;&gt;0,"Có",IF(COUNTA(B713)&gt;0,"Không",""))</f>
        <v/>
      </c>
    </row>
    <row r="714" spans="1:41" x14ac:dyDescent="0.2">
      <c r="A714" s="44" t="str">
        <f>IF(COUNTA(B714)&gt;0,706,"")</f>
        <v/>
      </c>
      <c r="G714" s="25" t="str">
        <f t="shared" si="0"/>
        <v/>
      </c>
      <c r="N714" s="44" t="str">
        <f>IF(COUNTA(B714)&gt;0,C5,"")</f>
        <v/>
      </c>
      <c r="AO714" t="str">
        <f t="shared" si="12"/>
        <v/>
      </c>
    </row>
    <row r="715" spans="1:41" x14ac:dyDescent="0.2">
      <c r="A715" s="44" t="str">
        <f>IF(COUNTA(B715)&gt;0,707,"")</f>
        <v/>
      </c>
      <c r="G715" s="25" t="str">
        <f t="shared" si="0"/>
        <v/>
      </c>
      <c r="N715" s="44" t="str">
        <f>IF(COUNTA(B715)&gt;0,C5,"")</f>
        <v/>
      </c>
      <c r="AO715" t="str">
        <f t="shared" si="12"/>
        <v/>
      </c>
    </row>
    <row r="716" spans="1:41" x14ac:dyDescent="0.2">
      <c r="A716" s="44" t="str">
        <f>IF(COUNTA(B716)&gt;0,708,"")</f>
        <v/>
      </c>
      <c r="G716" s="25" t="str">
        <f t="shared" si="0"/>
        <v/>
      </c>
      <c r="N716" s="44" t="str">
        <f>IF(COUNTA(B716)&gt;0,C5,"")</f>
        <v/>
      </c>
      <c r="AO716" t="str">
        <f t="shared" si="12"/>
        <v/>
      </c>
    </row>
    <row r="717" spans="1:41" x14ac:dyDescent="0.2">
      <c r="A717" s="44" t="str">
        <f>IF(COUNTA(B717)&gt;0,709,"")</f>
        <v/>
      </c>
      <c r="G717" s="25" t="str">
        <f t="shared" si="0"/>
        <v/>
      </c>
      <c r="N717" s="44" t="str">
        <f>IF(COUNTA(B717)&gt;0,C5,"")</f>
        <v/>
      </c>
      <c r="AO717" t="str">
        <f t="shared" si="12"/>
        <v/>
      </c>
    </row>
    <row r="718" spans="1:41" x14ac:dyDescent="0.2">
      <c r="A718" s="44" t="str">
        <f>IF(COUNTA(B718)&gt;0,710,"")</f>
        <v/>
      </c>
      <c r="G718" s="25" t="str">
        <f t="shared" si="0"/>
        <v/>
      </c>
      <c r="N718" s="44" t="str">
        <f>IF(COUNTA(B718)&gt;0,C5,"")</f>
        <v/>
      </c>
      <c r="AO718" t="str">
        <f t="shared" si="12"/>
        <v/>
      </c>
    </row>
    <row r="719" spans="1:41" x14ac:dyDescent="0.2">
      <c r="A719" s="44" t="str">
        <f>IF(COUNTA(B719)&gt;0,711,"")</f>
        <v/>
      </c>
      <c r="G719" s="25" t="str">
        <f t="shared" si="0"/>
        <v/>
      </c>
      <c r="N719" s="44" t="str">
        <f>IF(COUNTA(B719)&gt;0,C5,"")</f>
        <v/>
      </c>
      <c r="AO719" t="str">
        <f t="shared" si="12"/>
        <v/>
      </c>
    </row>
    <row r="720" spans="1:41" x14ac:dyDescent="0.2">
      <c r="A720" s="44" t="str">
        <f>IF(COUNTA(B720)&gt;0,712,"")</f>
        <v/>
      </c>
      <c r="G720" s="25" t="str">
        <f t="shared" si="0"/>
        <v/>
      </c>
      <c r="N720" s="44" t="str">
        <f>IF(COUNTA(B720)&gt;0,C5,"")</f>
        <v/>
      </c>
      <c r="AO720" t="str">
        <f t="shared" si="12"/>
        <v/>
      </c>
    </row>
    <row r="721" spans="1:41" x14ac:dyDescent="0.2">
      <c r="A721" s="44" t="str">
        <f>IF(COUNTA(B721)&gt;0,713,"")</f>
        <v/>
      </c>
      <c r="G721" s="25" t="str">
        <f t="shared" si="0"/>
        <v/>
      </c>
      <c r="N721" s="44" t="str">
        <f>IF(COUNTA(B721)&gt;0,C5,"")</f>
        <v/>
      </c>
      <c r="AO721" t="str">
        <f t="shared" si="12"/>
        <v/>
      </c>
    </row>
    <row r="722" spans="1:41" x14ac:dyDescent="0.2">
      <c r="A722" s="44" t="str">
        <f>IF(COUNTA(B722)&gt;0,714,"")</f>
        <v/>
      </c>
      <c r="G722" s="25" t="str">
        <f t="shared" si="0"/>
        <v/>
      </c>
      <c r="N722" s="44" t="str">
        <f>IF(COUNTA(B722)&gt;0,C5,"")</f>
        <v/>
      </c>
      <c r="AO722" t="str">
        <f t="shared" si="12"/>
        <v/>
      </c>
    </row>
    <row r="723" spans="1:41" x14ac:dyDescent="0.2">
      <c r="A723" s="44" t="str">
        <f>IF(COUNTA(B723)&gt;0,715,"")</f>
        <v/>
      </c>
      <c r="G723" s="25" t="str">
        <f t="shared" si="0"/>
        <v/>
      </c>
      <c r="N723" s="44" t="str">
        <f>IF(COUNTA(B723)&gt;0,C5,"")</f>
        <v/>
      </c>
      <c r="AO723" t="str">
        <f t="shared" si="12"/>
        <v/>
      </c>
    </row>
    <row r="724" spans="1:41" x14ac:dyDescent="0.2">
      <c r="A724" s="44" t="str">
        <f>IF(COUNTA(B724)&gt;0,716,"")</f>
        <v/>
      </c>
      <c r="G724" s="25" t="str">
        <f t="shared" si="0"/>
        <v/>
      </c>
      <c r="N724" s="44" t="str">
        <f>IF(COUNTA(B724)&gt;0,C5,"")</f>
        <v/>
      </c>
      <c r="AO724" t="str">
        <f t="shared" si="12"/>
        <v/>
      </c>
    </row>
    <row r="725" spans="1:41" x14ac:dyDescent="0.2">
      <c r="A725" s="44" t="str">
        <f>IF(COUNTA(B725)&gt;0,717,"")</f>
        <v/>
      </c>
      <c r="G725" s="25" t="str">
        <f t="shared" si="0"/>
        <v/>
      </c>
      <c r="N725" s="44" t="str">
        <f>IF(COUNTA(B725)&gt;0,C5,"")</f>
        <v/>
      </c>
      <c r="AO725" t="str">
        <f t="shared" si="12"/>
        <v/>
      </c>
    </row>
    <row r="726" spans="1:41" x14ac:dyDescent="0.2">
      <c r="A726" s="44" t="str">
        <f>IF(COUNTA(B726)&gt;0,718,"")</f>
        <v/>
      </c>
      <c r="G726" s="25" t="str">
        <f t="shared" si="0"/>
        <v/>
      </c>
      <c r="N726" s="44" t="str">
        <f>IF(COUNTA(B726)&gt;0,C5,"")</f>
        <v/>
      </c>
      <c r="AO726" t="str">
        <f t="shared" si="12"/>
        <v/>
      </c>
    </row>
    <row r="727" spans="1:41" x14ac:dyDescent="0.2">
      <c r="A727" s="44" t="str">
        <f>IF(COUNTA(B727)&gt;0,719,"")</f>
        <v/>
      </c>
      <c r="G727" s="25" t="str">
        <f t="shared" si="0"/>
        <v/>
      </c>
      <c r="N727" s="44" t="str">
        <f>IF(COUNTA(B727)&gt;0,C5,"")</f>
        <v/>
      </c>
      <c r="AO727" t="str">
        <f t="shared" si="12"/>
        <v/>
      </c>
    </row>
    <row r="728" spans="1:41" x14ac:dyDescent="0.2">
      <c r="A728" s="44" t="str">
        <f>IF(COUNTA(B728)&gt;0,720,"")</f>
        <v/>
      </c>
      <c r="G728" s="25" t="str">
        <f t="shared" si="0"/>
        <v/>
      </c>
      <c r="N728" s="44" t="str">
        <f>IF(COUNTA(B728)&gt;0,C5,"")</f>
        <v/>
      </c>
      <c r="AO728" t="str">
        <f t="shared" si="12"/>
        <v/>
      </c>
    </row>
    <row r="729" spans="1:41" x14ac:dyDescent="0.2">
      <c r="A729" s="44" t="str">
        <f>IF(COUNTA(B729)&gt;0,721,"")</f>
        <v/>
      </c>
      <c r="G729" s="25" t="str">
        <f t="shared" si="0"/>
        <v/>
      </c>
      <c r="N729" s="44" t="str">
        <f>IF(COUNTA(B729)&gt;0,C5,"")</f>
        <v/>
      </c>
      <c r="AO729" t="str">
        <f t="shared" si="12"/>
        <v/>
      </c>
    </row>
    <row r="730" spans="1:41" x14ac:dyDescent="0.2">
      <c r="A730" s="44" t="str">
        <f>IF(COUNTA(B730)&gt;0,722,"")</f>
        <v/>
      </c>
      <c r="G730" s="25" t="str">
        <f t="shared" si="0"/>
        <v/>
      </c>
      <c r="N730" s="44" t="str">
        <f>IF(COUNTA(B730)&gt;0,C5,"")</f>
        <v/>
      </c>
      <c r="AO730" t="str">
        <f t="shared" si="12"/>
        <v/>
      </c>
    </row>
    <row r="731" spans="1:41" x14ac:dyDescent="0.2">
      <c r="A731" s="44" t="str">
        <f>IF(COUNTA(B731)&gt;0,723,"")</f>
        <v/>
      </c>
      <c r="G731" s="25" t="str">
        <f t="shared" si="0"/>
        <v/>
      </c>
      <c r="N731" s="44" t="str">
        <f>IF(COUNTA(B731)&gt;0,C5,"")</f>
        <v/>
      </c>
      <c r="AO731" t="str">
        <f t="shared" si="12"/>
        <v/>
      </c>
    </row>
    <row r="732" spans="1:41" x14ac:dyDescent="0.2">
      <c r="A732" s="44" t="str">
        <f>IF(COUNTA(B732)&gt;0,724,"")</f>
        <v/>
      </c>
      <c r="G732" s="25" t="str">
        <f t="shared" si="0"/>
        <v/>
      </c>
      <c r="N732" s="44" t="str">
        <f>IF(COUNTA(B732)&gt;0,C5,"")</f>
        <v/>
      </c>
      <c r="AO732" t="str">
        <f t="shared" si="12"/>
        <v/>
      </c>
    </row>
    <row r="733" spans="1:41" x14ac:dyDescent="0.2">
      <c r="A733" s="44" t="str">
        <f>IF(COUNTA(B733)&gt;0,725,"")</f>
        <v/>
      </c>
      <c r="G733" s="25" t="str">
        <f t="shared" si="0"/>
        <v/>
      </c>
      <c r="N733" s="44" t="str">
        <f>IF(COUNTA(B733)&gt;0,C5,"")</f>
        <v/>
      </c>
      <c r="AO733" t="str">
        <f t="shared" si="12"/>
        <v/>
      </c>
    </row>
    <row r="734" spans="1:41" x14ac:dyDescent="0.2">
      <c r="A734" s="44" t="str">
        <f>IF(COUNTA(B734)&gt;0,726,"")</f>
        <v/>
      </c>
      <c r="G734" s="25" t="str">
        <f t="shared" si="0"/>
        <v/>
      </c>
      <c r="N734" s="44" t="str">
        <f>IF(COUNTA(B734)&gt;0,C5,"")</f>
        <v/>
      </c>
      <c r="AO734" t="str">
        <f t="shared" si="12"/>
        <v/>
      </c>
    </row>
    <row r="735" spans="1:41" x14ac:dyDescent="0.2">
      <c r="A735" s="44" t="str">
        <f>IF(COUNTA(B735)&gt;0,727,"")</f>
        <v/>
      </c>
      <c r="G735" s="25" t="str">
        <f t="shared" si="0"/>
        <v/>
      </c>
      <c r="N735" s="44" t="str">
        <f>IF(COUNTA(B735)&gt;0,C5,"")</f>
        <v/>
      </c>
      <c r="AO735" t="str">
        <f t="shared" si="12"/>
        <v/>
      </c>
    </row>
    <row r="736" spans="1:41" x14ac:dyDescent="0.2">
      <c r="A736" s="44" t="str">
        <f>IF(COUNTA(B736)&gt;0,728,"")</f>
        <v/>
      </c>
      <c r="G736" s="25" t="str">
        <f t="shared" si="0"/>
        <v/>
      </c>
      <c r="N736" s="44" t="str">
        <f>IF(COUNTA(B736)&gt;0,C5,"")</f>
        <v/>
      </c>
      <c r="AO736" t="str">
        <f t="shared" si="12"/>
        <v/>
      </c>
    </row>
    <row r="737" spans="1:41" x14ac:dyDescent="0.2">
      <c r="A737" s="44" t="str">
        <f>IF(COUNTA(B737)&gt;0,729,"")</f>
        <v/>
      </c>
      <c r="G737" s="25" t="str">
        <f t="shared" si="0"/>
        <v/>
      </c>
      <c r="N737" s="44" t="str">
        <f>IF(COUNTA(B737)&gt;0,C5,"")</f>
        <v/>
      </c>
      <c r="AO737" t="str">
        <f t="shared" si="12"/>
        <v/>
      </c>
    </row>
    <row r="738" spans="1:41" x14ac:dyDescent="0.2">
      <c r="A738" s="44" t="str">
        <f>IF(COUNTA(B738)&gt;0,730,"")</f>
        <v/>
      </c>
      <c r="G738" s="25" t="str">
        <f t="shared" si="0"/>
        <v/>
      </c>
      <c r="N738" s="44" t="str">
        <f>IF(COUNTA(B738)&gt;0,C5,"")</f>
        <v/>
      </c>
      <c r="AO738" t="str">
        <f t="shared" si="12"/>
        <v/>
      </c>
    </row>
    <row r="739" spans="1:41" x14ac:dyDescent="0.2">
      <c r="A739" s="44" t="str">
        <f>IF(COUNTA(B739)&gt;0,731,"")</f>
        <v/>
      </c>
      <c r="G739" s="25" t="str">
        <f t="shared" si="0"/>
        <v/>
      </c>
      <c r="N739" s="44" t="str">
        <f>IF(COUNTA(B739)&gt;0,C5,"")</f>
        <v/>
      </c>
      <c r="AO739" t="str">
        <f t="shared" si="12"/>
        <v/>
      </c>
    </row>
    <row r="740" spans="1:41" x14ac:dyDescent="0.2">
      <c r="A740" s="44" t="str">
        <f>IF(COUNTA(B740)&gt;0,732,"")</f>
        <v/>
      </c>
      <c r="G740" s="25" t="str">
        <f t="shared" si="0"/>
        <v/>
      </c>
      <c r="N740" s="44" t="str">
        <f>IF(COUNTA(B740)&gt;0,C5,"")</f>
        <v/>
      </c>
      <c r="AO740" t="str">
        <f t="shared" si="12"/>
        <v/>
      </c>
    </row>
    <row r="741" spans="1:41" x14ac:dyDescent="0.2">
      <c r="A741" s="44" t="str">
        <f>IF(COUNTA(B741)&gt;0,733,"")</f>
        <v/>
      </c>
      <c r="G741" s="25" t="str">
        <f t="shared" si="0"/>
        <v/>
      </c>
      <c r="N741" s="44" t="str">
        <f>IF(COUNTA(B741)&gt;0,C5,"")</f>
        <v/>
      </c>
      <c r="AO741" t="str">
        <f t="shared" si="12"/>
        <v/>
      </c>
    </row>
    <row r="742" spans="1:41" x14ac:dyDescent="0.2">
      <c r="A742" s="44" t="str">
        <f>IF(COUNTA(B742)&gt;0,734,"")</f>
        <v/>
      </c>
      <c r="G742" s="25" t="str">
        <f t="shared" si="0"/>
        <v/>
      </c>
      <c r="N742" s="44" t="str">
        <f>IF(COUNTA(B742)&gt;0,C5,"")</f>
        <v/>
      </c>
      <c r="AO742" t="str">
        <f t="shared" si="12"/>
        <v/>
      </c>
    </row>
    <row r="743" spans="1:41" x14ac:dyDescent="0.2">
      <c r="A743" s="44" t="str">
        <f>IF(COUNTA(B743)&gt;0,735,"")</f>
        <v/>
      </c>
      <c r="G743" s="25" t="str">
        <f t="shared" si="0"/>
        <v/>
      </c>
      <c r="N743" s="44" t="str">
        <f>IF(COUNTA(B743)&gt;0,C5,"")</f>
        <v/>
      </c>
      <c r="AO743" t="str">
        <f t="shared" si="12"/>
        <v/>
      </c>
    </row>
    <row r="744" spans="1:41" x14ac:dyDescent="0.2">
      <c r="A744" s="44" t="str">
        <f>IF(COUNTA(B744)&gt;0,736,"")</f>
        <v/>
      </c>
      <c r="G744" s="25" t="str">
        <f t="shared" si="0"/>
        <v/>
      </c>
      <c r="N744" s="44" t="str">
        <f>IF(COUNTA(B744)&gt;0,C5,"")</f>
        <v/>
      </c>
      <c r="AO744" t="str">
        <f t="shared" si="12"/>
        <v/>
      </c>
    </row>
    <row r="745" spans="1:41" x14ac:dyDescent="0.2">
      <c r="A745" s="44" t="str">
        <f>IF(COUNTA(B745)&gt;0,737,"")</f>
        <v/>
      </c>
      <c r="G745" s="25" t="str">
        <f t="shared" si="0"/>
        <v/>
      </c>
      <c r="N745" s="44" t="str">
        <f>IF(COUNTA(B745)&gt;0,C5,"")</f>
        <v/>
      </c>
      <c r="AO745" t="str">
        <f t="shared" si="12"/>
        <v/>
      </c>
    </row>
    <row r="746" spans="1:41" x14ac:dyDescent="0.2">
      <c r="A746" s="44" t="str">
        <f>IF(COUNTA(B746)&gt;0,738,"")</f>
        <v/>
      </c>
      <c r="G746" s="25" t="str">
        <f t="shared" si="0"/>
        <v/>
      </c>
      <c r="N746" s="44" t="str">
        <f>IF(COUNTA(B746)&gt;0,C5,"")</f>
        <v/>
      </c>
      <c r="AO746" t="str">
        <f t="shared" si="12"/>
        <v/>
      </c>
    </row>
    <row r="747" spans="1:41" x14ac:dyDescent="0.2">
      <c r="A747" s="44" t="str">
        <f>IF(COUNTA(B747)&gt;0,739,"")</f>
        <v/>
      </c>
      <c r="G747" s="25" t="str">
        <f t="shared" si="0"/>
        <v/>
      </c>
      <c r="N747" s="44" t="str">
        <f>IF(COUNTA(B747)&gt;0,C5,"")</f>
        <v/>
      </c>
      <c r="AO747" t="str">
        <f t="shared" si="12"/>
        <v/>
      </c>
    </row>
    <row r="748" spans="1:41" x14ac:dyDescent="0.2">
      <c r="A748" s="44" t="str">
        <f>IF(COUNTA(B748)&gt;0,740,"")</f>
        <v/>
      </c>
      <c r="G748" s="25" t="str">
        <f t="shared" si="0"/>
        <v/>
      </c>
      <c r="N748" s="44" t="str">
        <f>IF(COUNTA(B748)&gt;0,C5,"")</f>
        <v/>
      </c>
      <c r="AO748" t="str">
        <f t="shared" si="12"/>
        <v/>
      </c>
    </row>
    <row r="749" spans="1:41" x14ac:dyDescent="0.2">
      <c r="A749" s="44" t="str">
        <f>IF(COUNTA(B749)&gt;0,741,"")</f>
        <v/>
      </c>
      <c r="G749" s="25" t="str">
        <f t="shared" si="0"/>
        <v/>
      </c>
      <c r="N749" s="44" t="str">
        <f>IF(COUNTA(B749)&gt;0,C5,"")</f>
        <v/>
      </c>
      <c r="AO749" t="str">
        <f t="shared" si="12"/>
        <v/>
      </c>
    </row>
    <row r="750" spans="1:41" x14ac:dyDescent="0.2">
      <c r="A750" s="44" t="str">
        <f>IF(COUNTA(B750)&gt;0,742,"")</f>
        <v/>
      </c>
      <c r="G750" s="25" t="str">
        <f t="shared" si="0"/>
        <v/>
      </c>
      <c r="N750" s="44" t="str">
        <f>IF(COUNTA(B750)&gt;0,C5,"")</f>
        <v/>
      </c>
      <c r="AO750" t="str">
        <f t="shared" si="12"/>
        <v/>
      </c>
    </row>
    <row r="751" spans="1:41" x14ac:dyDescent="0.2">
      <c r="A751" s="44" t="str">
        <f>IF(COUNTA(B751)&gt;0,743,"")</f>
        <v/>
      </c>
      <c r="G751" s="25" t="str">
        <f t="shared" si="0"/>
        <v/>
      </c>
      <c r="N751" s="44" t="str">
        <f>IF(COUNTA(B751)&gt;0,C5,"")</f>
        <v/>
      </c>
      <c r="AO751" t="str">
        <f t="shared" si="12"/>
        <v/>
      </c>
    </row>
    <row r="752" spans="1:41" x14ac:dyDescent="0.2">
      <c r="A752" s="44" t="str">
        <f>IF(COUNTA(B752)&gt;0,744,"")</f>
        <v/>
      </c>
      <c r="G752" s="25" t="str">
        <f t="shared" si="0"/>
        <v/>
      </c>
      <c r="N752" s="44" t="str">
        <f>IF(COUNTA(B752)&gt;0,C5,"")</f>
        <v/>
      </c>
      <c r="AO752" t="str">
        <f t="shared" si="12"/>
        <v/>
      </c>
    </row>
    <row r="753" spans="1:41" x14ac:dyDescent="0.2">
      <c r="A753" s="44" t="str">
        <f>IF(COUNTA(B753)&gt;0,745,"")</f>
        <v/>
      </c>
      <c r="G753" s="25" t="str">
        <f t="shared" si="0"/>
        <v/>
      </c>
      <c r="N753" s="44" t="str">
        <f>IF(COUNTA(B753)&gt;0,C5,"")</f>
        <v/>
      </c>
      <c r="AO753" t="str">
        <f t="shared" si="12"/>
        <v/>
      </c>
    </row>
    <row r="754" spans="1:41" x14ac:dyDescent="0.2">
      <c r="A754" s="44" t="str">
        <f>IF(COUNTA(B754)&gt;0,746,"")</f>
        <v/>
      </c>
      <c r="G754" s="25" t="str">
        <f t="shared" si="0"/>
        <v/>
      </c>
      <c r="N754" s="44" t="str">
        <f>IF(COUNTA(B754)&gt;0,C5,"")</f>
        <v/>
      </c>
      <c r="AO754" t="str">
        <f t="shared" si="12"/>
        <v/>
      </c>
    </row>
    <row r="755" spans="1:41" x14ac:dyDescent="0.2">
      <c r="A755" s="44" t="str">
        <f>IF(COUNTA(B755)&gt;0,747,"")</f>
        <v/>
      </c>
      <c r="G755" s="25" t="str">
        <f t="shared" si="0"/>
        <v/>
      </c>
      <c r="N755" s="44" t="str">
        <f>IF(COUNTA(B755)&gt;0,C5,"")</f>
        <v/>
      </c>
      <c r="AO755" t="str">
        <f t="shared" si="12"/>
        <v/>
      </c>
    </row>
    <row r="756" spans="1:41" x14ac:dyDescent="0.2">
      <c r="A756" s="44" t="str">
        <f>IF(COUNTA(B756)&gt;0,748,"")</f>
        <v/>
      </c>
      <c r="G756" s="25" t="str">
        <f t="shared" si="0"/>
        <v/>
      </c>
      <c r="N756" s="44" t="str">
        <f>IF(COUNTA(B756)&gt;0,C5,"")</f>
        <v/>
      </c>
      <c r="AO756" t="str">
        <f t="shared" si="12"/>
        <v/>
      </c>
    </row>
    <row r="757" spans="1:41" x14ac:dyDescent="0.2">
      <c r="A757" s="44" t="str">
        <f>IF(COUNTA(B757)&gt;0,749,"")</f>
        <v/>
      </c>
      <c r="G757" s="25" t="str">
        <f t="shared" si="0"/>
        <v/>
      </c>
      <c r="N757" s="44" t="str">
        <f>IF(COUNTA(B757)&gt;0,C5,"")</f>
        <v/>
      </c>
      <c r="AO757" t="str">
        <f t="shared" si="12"/>
        <v/>
      </c>
    </row>
    <row r="758" spans="1:41" x14ac:dyDescent="0.2">
      <c r="A758" s="44" t="str">
        <f>IF(COUNTA(B758)&gt;0,750,"")</f>
        <v/>
      </c>
      <c r="G758" s="25" t="str">
        <f t="shared" si="0"/>
        <v/>
      </c>
      <c r="N758" s="44" t="str">
        <f>IF(COUNTA(B758)&gt;0,C5,"")</f>
        <v/>
      </c>
      <c r="AO758" t="str">
        <f t="shared" si="12"/>
        <v/>
      </c>
    </row>
    <row r="759" spans="1:41" x14ac:dyDescent="0.2">
      <c r="A759" s="44" t="str">
        <f>IF(COUNTA(B759)&gt;0,751,"")</f>
        <v/>
      </c>
      <c r="G759" s="25" t="str">
        <f t="shared" si="0"/>
        <v/>
      </c>
      <c r="N759" s="44" t="str">
        <f>IF(COUNTA(B759)&gt;0,C5,"")</f>
        <v/>
      </c>
      <c r="AO759" t="str">
        <f t="shared" si="12"/>
        <v/>
      </c>
    </row>
    <row r="760" spans="1:41" x14ac:dyDescent="0.2">
      <c r="A760" s="44" t="str">
        <f>IF(COUNTA(B760)&gt;0,752,"")</f>
        <v/>
      </c>
      <c r="G760" s="25" t="str">
        <f t="shared" si="0"/>
        <v/>
      </c>
      <c r="N760" s="44" t="str">
        <f>IF(COUNTA(B760)&gt;0,C5,"")</f>
        <v/>
      </c>
      <c r="AO760" t="str">
        <f t="shared" si="12"/>
        <v/>
      </c>
    </row>
    <row r="761" spans="1:41" x14ac:dyDescent="0.2">
      <c r="A761" s="44" t="str">
        <f>IF(COUNTA(B761)&gt;0,753,"")</f>
        <v/>
      </c>
      <c r="G761" s="25" t="str">
        <f t="shared" si="0"/>
        <v/>
      </c>
      <c r="N761" s="44" t="str">
        <f>IF(COUNTA(B761)&gt;0,C5,"")</f>
        <v/>
      </c>
      <c r="AO761" t="str">
        <f t="shared" si="12"/>
        <v/>
      </c>
    </row>
    <row r="762" spans="1:41" x14ac:dyDescent="0.2">
      <c r="A762" s="44" t="str">
        <f>IF(COUNTA(B762)&gt;0,754,"")</f>
        <v/>
      </c>
      <c r="G762" s="25" t="str">
        <f t="shared" si="0"/>
        <v/>
      </c>
      <c r="N762" s="44" t="str">
        <f>IF(COUNTA(B762)&gt;0,C5,"")</f>
        <v/>
      </c>
      <c r="AO762" t="str">
        <f t="shared" si="12"/>
        <v/>
      </c>
    </row>
    <row r="763" spans="1:41" x14ac:dyDescent="0.2">
      <c r="A763" s="44" t="str">
        <f>IF(COUNTA(B763)&gt;0,755,"")</f>
        <v/>
      </c>
      <c r="G763" s="25" t="str">
        <f t="shared" si="0"/>
        <v/>
      </c>
      <c r="N763" s="44" t="str">
        <f>IF(COUNTA(B763)&gt;0,C5,"")</f>
        <v/>
      </c>
      <c r="AO763" t="str">
        <f t="shared" si="12"/>
        <v/>
      </c>
    </row>
    <row r="764" spans="1:41" x14ac:dyDescent="0.2">
      <c r="A764" s="44" t="str">
        <f>IF(COUNTA(B764)&gt;0,756,"")</f>
        <v/>
      </c>
      <c r="G764" s="25" t="str">
        <f t="shared" si="0"/>
        <v/>
      </c>
      <c r="N764" s="44" t="str">
        <f>IF(COUNTA(B764)&gt;0,C5,"")</f>
        <v/>
      </c>
      <c r="AO764" t="str">
        <f t="shared" si="12"/>
        <v/>
      </c>
    </row>
    <row r="765" spans="1:41" x14ac:dyDescent="0.2">
      <c r="A765" s="44" t="str">
        <f>IF(COUNTA(B765)&gt;0,757,"")</f>
        <v/>
      </c>
      <c r="G765" s="25" t="str">
        <f t="shared" si="0"/>
        <v/>
      </c>
      <c r="N765" s="44" t="str">
        <f>IF(COUNTA(B765)&gt;0,C5,"")</f>
        <v/>
      </c>
      <c r="AO765" t="str">
        <f t="shared" si="12"/>
        <v/>
      </c>
    </row>
    <row r="766" spans="1:41" x14ac:dyDescent="0.2">
      <c r="A766" s="44" t="str">
        <f>IF(COUNTA(B766)&gt;0,758,"")</f>
        <v/>
      </c>
      <c r="G766" s="25" t="str">
        <f t="shared" si="0"/>
        <v/>
      </c>
      <c r="N766" s="44" t="str">
        <f>IF(COUNTA(B766)&gt;0,C5,"")</f>
        <v/>
      </c>
      <c r="AO766" t="str">
        <f t="shared" si="12"/>
        <v/>
      </c>
    </row>
    <row r="767" spans="1:41" x14ac:dyDescent="0.2">
      <c r="A767" s="44" t="str">
        <f>IF(COUNTA(B767)&gt;0,759,"")</f>
        <v/>
      </c>
      <c r="G767" s="25" t="str">
        <f t="shared" si="0"/>
        <v/>
      </c>
      <c r="N767" s="44" t="str">
        <f>IF(COUNTA(B767)&gt;0,C5,"")</f>
        <v/>
      </c>
      <c r="AO767" t="str">
        <f t="shared" si="12"/>
        <v/>
      </c>
    </row>
    <row r="768" spans="1:41" x14ac:dyDescent="0.2">
      <c r="A768" s="44" t="str">
        <f>IF(COUNTA(B768)&gt;0,760,"")</f>
        <v/>
      </c>
      <c r="G768" s="25" t="str">
        <f t="shared" si="0"/>
        <v/>
      </c>
      <c r="N768" s="44" t="str">
        <f>IF(COUNTA(B768)&gt;0,C5,"")</f>
        <v/>
      </c>
      <c r="AO768" t="str">
        <f t="shared" si="12"/>
        <v/>
      </c>
    </row>
    <row r="769" spans="1:41" x14ac:dyDescent="0.2">
      <c r="A769" s="44" t="str">
        <f>IF(COUNTA(B769)&gt;0,761,"")</f>
        <v/>
      </c>
      <c r="G769" s="25" t="str">
        <f t="shared" si="0"/>
        <v/>
      </c>
      <c r="N769" s="44" t="str">
        <f>IF(COUNTA(B769)&gt;0,C5,"")</f>
        <v/>
      </c>
      <c r="AO769" t="str">
        <f t="shared" si="12"/>
        <v/>
      </c>
    </row>
    <row r="770" spans="1:41" x14ac:dyDescent="0.2">
      <c r="A770" s="44" t="str">
        <f>IF(COUNTA(B770)&gt;0,762,"")</f>
        <v/>
      </c>
      <c r="G770" s="25" t="str">
        <f t="shared" si="0"/>
        <v/>
      </c>
      <c r="N770" s="44" t="str">
        <f>IF(COUNTA(B770)&gt;0,C5,"")</f>
        <v/>
      </c>
      <c r="AO770" t="str">
        <f t="shared" si="12"/>
        <v/>
      </c>
    </row>
    <row r="771" spans="1:41" x14ac:dyDescent="0.2">
      <c r="A771" s="44" t="str">
        <f>IF(COUNTA(B771)&gt;0,763,"")</f>
        <v/>
      </c>
      <c r="G771" s="25" t="str">
        <f t="shared" si="0"/>
        <v/>
      </c>
      <c r="N771" s="44" t="str">
        <f>IF(COUNTA(B771)&gt;0,C5,"")</f>
        <v/>
      </c>
      <c r="AO771" t="str">
        <f t="shared" si="12"/>
        <v/>
      </c>
    </row>
    <row r="772" spans="1:41" x14ac:dyDescent="0.2">
      <c r="A772" s="44" t="str">
        <f>IF(COUNTA(B772)&gt;0,764,"")</f>
        <v/>
      </c>
      <c r="G772" s="25" t="str">
        <f t="shared" si="0"/>
        <v/>
      </c>
      <c r="N772" s="44" t="str">
        <f>IF(COUNTA(B772)&gt;0,C5,"")</f>
        <v/>
      </c>
      <c r="AO772" t="str">
        <f t="shared" si="12"/>
        <v/>
      </c>
    </row>
    <row r="773" spans="1:41" x14ac:dyDescent="0.2">
      <c r="A773" s="44" t="str">
        <f>IF(COUNTA(B773)&gt;0,765,"")</f>
        <v/>
      </c>
      <c r="G773" s="25" t="str">
        <f t="shared" si="0"/>
        <v/>
      </c>
      <c r="N773" s="44" t="str">
        <f>IF(COUNTA(B773)&gt;0,C5,"")</f>
        <v/>
      </c>
      <c r="AO773" t="str">
        <f t="shared" si="12"/>
        <v/>
      </c>
    </row>
    <row r="774" spans="1:41" x14ac:dyDescent="0.2">
      <c r="A774" s="44" t="str">
        <f>IF(COUNTA(B774)&gt;0,766,"")</f>
        <v/>
      </c>
      <c r="G774" s="25" t="str">
        <f t="shared" si="0"/>
        <v/>
      </c>
      <c r="N774" s="44" t="str">
        <f>IF(COUNTA(B774)&gt;0,C5,"")</f>
        <v/>
      </c>
      <c r="AO774" t="str">
        <f t="shared" si="12"/>
        <v/>
      </c>
    </row>
    <row r="775" spans="1:41" x14ac:dyDescent="0.2">
      <c r="A775" s="44" t="str">
        <f>IF(COUNTA(B775)&gt;0,767,"")</f>
        <v/>
      </c>
      <c r="G775" s="25" t="str">
        <f t="shared" si="0"/>
        <v/>
      </c>
      <c r="N775" s="44" t="str">
        <f>IF(COUNTA(B775)&gt;0,C5,"")</f>
        <v/>
      </c>
      <c r="AO775" t="str">
        <f t="shared" si="12"/>
        <v/>
      </c>
    </row>
    <row r="776" spans="1:41" x14ac:dyDescent="0.2">
      <c r="A776" s="44" t="str">
        <f>IF(COUNTA(B776)&gt;0,768,"")</f>
        <v/>
      </c>
      <c r="G776" s="25" t="str">
        <f t="shared" si="0"/>
        <v/>
      </c>
      <c r="N776" s="44" t="str">
        <f>IF(COUNTA(B776)&gt;0,C5,"")</f>
        <v/>
      </c>
      <c r="AO776" t="str">
        <f t="shared" si="12"/>
        <v/>
      </c>
    </row>
    <row r="777" spans="1:41" x14ac:dyDescent="0.2">
      <c r="A777" s="44" t="str">
        <f>IF(COUNTA(B777)&gt;0,769,"")</f>
        <v/>
      </c>
      <c r="G777" s="25" t="str">
        <f t="shared" si="0"/>
        <v/>
      </c>
      <c r="N777" s="44" t="str">
        <f>IF(COUNTA(B777)&gt;0,C5,"")</f>
        <v/>
      </c>
      <c r="AO777" t="str">
        <f t="shared" ref="AO777:AO840" si="13">IF(COUNTA(L777:M777)&lt;&gt;0,"Có",IF(COUNTA(B777)&gt;0,"Không",""))</f>
        <v/>
      </c>
    </row>
    <row r="778" spans="1:41" x14ac:dyDescent="0.2">
      <c r="A778" s="44" t="str">
        <f>IF(COUNTA(B778)&gt;0,770,"")</f>
        <v/>
      </c>
      <c r="G778" s="25" t="str">
        <f t="shared" si="0"/>
        <v/>
      </c>
      <c r="N778" s="44" t="str">
        <f>IF(COUNTA(B778)&gt;0,C5,"")</f>
        <v/>
      </c>
      <c r="AO778" t="str">
        <f t="shared" si="13"/>
        <v/>
      </c>
    </row>
    <row r="779" spans="1:41" x14ac:dyDescent="0.2">
      <c r="A779" s="44" t="str">
        <f>IF(COUNTA(B779)&gt;0,771,"")</f>
        <v/>
      </c>
      <c r="G779" s="25" t="str">
        <f t="shared" si="0"/>
        <v/>
      </c>
      <c r="N779" s="44" t="str">
        <f>IF(COUNTA(B779)&gt;0,C5,"")</f>
        <v/>
      </c>
      <c r="AO779" t="str">
        <f t="shared" si="13"/>
        <v/>
      </c>
    </row>
    <row r="780" spans="1:41" x14ac:dyDescent="0.2">
      <c r="A780" s="44" t="str">
        <f>IF(COUNTA(B780)&gt;0,772,"")</f>
        <v/>
      </c>
      <c r="G780" s="25" t="str">
        <f t="shared" si="0"/>
        <v/>
      </c>
      <c r="N780" s="44" t="str">
        <f>IF(COUNTA(B780)&gt;0,C5,"")</f>
        <v/>
      </c>
      <c r="AO780" t="str">
        <f t="shared" si="13"/>
        <v/>
      </c>
    </row>
    <row r="781" spans="1:41" x14ac:dyDescent="0.2">
      <c r="A781" s="44" t="str">
        <f>IF(COUNTA(B781)&gt;0,773,"")</f>
        <v/>
      </c>
      <c r="G781" s="25" t="str">
        <f t="shared" si="0"/>
        <v/>
      </c>
      <c r="N781" s="44" t="str">
        <f>IF(COUNTA(B781)&gt;0,C5,"")</f>
        <v/>
      </c>
      <c r="AO781" t="str">
        <f t="shared" si="13"/>
        <v/>
      </c>
    </row>
    <row r="782" spans="1:41" x14ac:dyDescent="0.2">
      <c r="A782" s="44" t="str">
        <f>IF(COUNTA(B782)&gt;0,774,"")</f>
        <v/>
      </c>
      <c r="G782" s="25" t="str">
        <f t="shared" si="0"/>
        <v/>
      </c>
      <c r="N782" s="44" t="str">
        <f>IF(COUNTA(B782)&gt;0,C5,"")</f>
        <v/>
      </c>
      <c r="AO782" t="str">
        <f t="shared" si="13"/>
        <v/>
      </c>
    </row>
    <row r="783" spans="1:41" x14ac:dyDescent="0.2">
      <c r="A783" s="44" t="str">
        <f>IF(COUNTA(B783)&gt;0,775,"")</f>
        <v/>
      </c>
      <c r="G783" s="25" t="str">
        <f t="shared" si="0"/>
        <v/>
      </c>
      <c r="N783" s="44" t="str">
        <f>IF(COUNTA(B783)&gt;0,C5,"")</f>
        <v/>
      </c>
      <c r="AO783" t="str">
        <f t="shared" si="13"/>
        <v/>
      </c>
    </row>
    <row r="784" spans="1:41" x14ac:dyDescent="0.2">
      <c r="A784" s="44" t="str">
        <f>IF(COUNTA(B784)&gt;0,776,"")</f>
        <v/>
      </c>
      <c r="G784" s="25" t="str">
        <f t="shared" si="0"/>
        <v/>
      </c>
      <c r="N784" s="44" t="str">
        <f>IF(COUNTA(B784)&gt;0,C5,"")</f>
        <v/>
      </c>
      <c r="AO784" t="str">
        <f t="shared" si="13"/>
        <v/>
      </c>
    </row>
    <row r="785" spans="1:41" x14ac:dyDescent="0.2">
      <c r="A785" s="44" t="str">
        <f>IF(COUNTA(B785)&gt;0,777,"")</f>
        <v/>
      </c>
      <c r="G785" s="25" t="str">
        <f t="shared" si="0"/>
        <v/>
      </c>
      <c r="N785" s="44" t="str">
        <f>IF(COUNTA(B785)&gt;0,C5,"")</f>
        <v/>
      </c>
      <c r="AO785" t="str">
        <f t="shared" si="13"/>
        <v/>
      </c>
    </row>
    <row r="786" spans="1:41" x14ac:dyDescent="0.2">
      <c r="A786" s="44" t="str">
        <f>IF(COUNTA(B786)&gt;0,778,"")</f>
        <v/>
      </c>
      <c r="G786" s="25" t="str">
        <f t="shared" si="0"/>
        <v/>
      </c>
      <c r="N786" s="44" t="str">
        <f>IF(COUNTA(B786)&gt;0,C5,"")</f>
        <v/>
      </c>
      <c r="AO786" t="str">
        <f t="shared" si="13"/>
        <v/>
      </c>
    </row>
    <row r="787" spans="1:41" x14ac:dyDescent="0.2">
      <c r="A787" s="44" t="str">
        <f>IF(COUNTA(B787)&gt;0,779,"")</f>
        <v/>
      </c>
      <c r="G787" s="25" t="str">
        <f t="shared" si="0"/>
        <v/>
      </c>
      <c r="N787" s="44" t="str">
        <f>IF(COUNTA(B787)&gt;0,C5,"")</f>
        <v/>
      </c>
      <c r="AO787" t="str">
        <f t="shared" si="13"/>
        <v/>
      </c>
    </row>
    <row r="788" spans="1:41" x14ac:dyDescent="0.2">
      <c r="A788" s="44" t="str">
        <f>IF(COUNTA(B788)&gt;0,780,"")</f>
        <v/>
      </c>
      <c r="G788" s="25" t="str">
        <f t="shared" si="0"/>
        <v/>
      </c>
      <c r="N788" s="44" t="str">
        <f>IF(COUNTA(B788)&gt;0,C5,"")</f>
        <v/>
      </c>
      <c r="AO788" t="str">
        <f t="shared" si="13"/>
        <v/>
      </c>
    </row>
    <row r="789" spans="1:41" x14ac:dyDescent="0.2">
      <c r="A789" s="44" t="str">
        <f>IF(COUNTA(B789)&gt;0,781,"")</f>
        <v/>
      </c>
      <c r="G789" s="25" t="str">
        <f t="shared" si="0"/>
        <v/>
      </c>
      <c r="N789" s="44" t="str">
        <f>IF(COUNTA(B789)&gt;0,C5,"")</f>
        <v/>
      </c>
      <c r="AO789" t="str">
        <f t="shared" si="13"/>
        <v/>
      </c>
    </row>
    <row r="790" spans="1:41" x14ac:dyDescent="0.2">
      <c r="A790" s="44" t="str">
        <f>IF(COUNTA(B790)&gt;0,782,"")</f>
        <v/>
      </c>
      <c r="G790" s="25" t="str">
        <f t="shared" si="0"/>
        <v/>
      </c>
      <c r="N790" s="44" t="str">
        <f>IF(COUNTA(B790)&gt;0,C5,"")</f>
        <v/>
      </c>
      <c r="AO790" t="str">
        <f t="shared" si="13"/>
        <v/>
      </c>
    </row>
    <row r="791" spans="1:41" x14ac:dyDescent="0.2">
      <c r="A791" s="44" t="str">
        <f>IF(COUNTA(B791)&gt;0,783,"")</f>
        <v/>
      </c>
      <c r="G791" s="25" t="str">
        <f t="shared" si="0"/>
        <v/>
      </c>
      <c r="N791" s="44" t="str">
        <f>IF(COUNTA(B791)&gt;0,C5,"")</f>
        <v/>
      </c>
      <c r="AO791" t="str">
        <f t="shared" si="13"/>
        <v/>
      </c>
    </row>
    <row r="792" spans="1:41" x14ac:dyDescent="0.2">
      <c r="A792" s="44" t="str">
        <f>IF(COUNTA(B792)&gt;0,784,"")</f>
        <v/>
      </c>
      <c r="G792" s="25" t="str">
        <f t="shared" si="0"/>
        <v/>
      </c>
      <c r="N792" s="44" t="str">
        <f>IF(COUNTA(B792)&gt;0,C5,"")</f>
        <v/>
      </c>
      <c r="AO792" t="str">
        <f t="shared" si="13"/>
        <v/>
      </c>
    </row>
    <row r="793" spans="1:41" x14ac:dyDescent="0.2">
      <c r="A793" s="44" t="str">
        <f>IF(COUNTA(B793)&gt;0,785,"")</f>
        <v/>
      </c>
      <c r="G793" s="25" t="str">
        <f t="shared" si="0"/>
        <v/>
      </c>
      <c r="N793" s="44" t="str">
        <f>IF(COUNTA(B793)&gt;0,C5,"")</f>
        <v/>
      </c>
      <c r="AO793" t="str">
        <f t="shared" si="13"/>
        <v/>
      </c>
    </row>
    <row r="794" spans="1:41" x14ac:dyDescent="0.2">
      <c r="A794" s="44" t="str">
        <f>IF(COUNTA(B794)&gt;0,786,"")</f>
        <v/>
      </c>
      <c r="G794" s="25" t="str">
        <f t="shared" si="0"/>
        <v/>
      </c>
      <c r="N794" s="44" t="str">
        <f>IF(COUNTA(B794)&gt;0,C5,"")</f>
        <v/>
      </c>
      <c r="AO794" t="str">
        <f t="shared" si="13"/>
        <v/>
      </c>
    </row>
    <row r="795" spans="1:41" x14ac:dyDescent="0.2">
      <c r="A795" s="44" t="str">
        <f>IF(COUNTA(B795)&gt;0,787,"")</f>
        <v/>
      </c>
      <c r="G795" s="25" t="str">
        <f t="shared" si="0"/>
        <v/>
      </c>
      <c r="N795" s="44" t="str">
        <f>IF(COUNTA(B795)&gt;0,C5,"")</f>
        <v/>
      </c>
      <c r="AO795" t="str">
        <f t="shared" si="13"/>
        <v/>
      </c>
    </row>
    <row r="796" spans="1:41" x14ac:dyDescent="0.2">
      <c r="A796" s="44" t="str">
        <f>IF(COUNTA(B796)&gt;0,788,"")</f>
        <v/>
      </c>
      <c r="G796" s="25" t="str">
        <f t="shared" si="0"/>
        <v/>
      </c>
      <c r="N796" s="44" t="str">
        <f>IF(COUNTA(B796)&gt;0,C5,"")</f>
        <v/>
      </c>
      <c r="AO796" t="str">
        <f t="shared" si="13"/>
        <v/>
      </c>
    </row>
    <row r="797" spans="1:41" x14ac:dyDescent="0.2">
      <c r="A797" s="44" t="str">
        <f>IF(COUNTA(B797)&gt;0,789,"")</f>
        <v/>
      </c>
      <c r="G797" s="25" t="str">
        <f t="shared" si="0"/>
        <v/>
      </c>
      <c r="N797" s="44" t="str">
        <f>IF(COUNTA(B797)&gt;0,C5,"")</f>
        <v/>
      </c>
      <c r="AO797" t="str">
        <f t="shared" si="13"/>
        <v/>
      </c>
    </row>
    <row r="798" spans="1:41" x14ac:dyDescent="0.2">
      <c r="A798" s="44" t="str">
        <f>IF(COUNTA(B798)&gt;0,790,"")</f>
        <v/>
      </c>
      <c r="G798" s="25" t="str">
        <f t="shared" si="0"/>
        <v/>
      </c>
      <c r="N798" s="44" t="str">
        <f>IF(COUNTA(B798)&gt;0,C5,"")</f>
        <v/>
      </c>
      <c r="AO798" t="str">
        <f t="shared" si="13"/>
        <v/>
      </c>
    </row>
    <row r="799" spans="1:41" x14ac:dyDescent="0.2">
      <c r="A799" s="44" t="str">
        <f>IF(COUNTA(B799)&gt;0,791,"")</f>
        <v/>
      </c>
      <c r="G799" s="25" t="str">
        <f t="shared" si="0"/>
        <v/>
      </c>
      <c r="N799" s="44" t="str">
        <f>IF(COUNTA(B799)&gt;0,C5,"")</f>
        <v/>
      </c>
      <c r="AO799" t="str">
        <f t="shared" si="13"/>
        <v/>
      </c>
    </row>
    <row r="800" spans="1:41" x14ac:dyDescent="0.2">
      <c r="A800" s="44" t="str">
        <f>IF(COUNTA(B800)&gt;0,792,"")</f>
        <v/>
      </c>
      <c r="G800" s="25" t="str">
        <f t="shared" si="0"/>
        <v/>
      </c>
      <c r="N800" s="44" t="str">
        <f>IF(COUNTA(B800)&gt;0,C5,"")</f>
        <v/>
      </c>
      <c r="AO800" t="str">
        <f t="shared" si="13"/>
        <v/>
      </c>
    </row>
    <row r="801" spans="1:41" x14ac:dyDescent="0.2">
      <c r="A801" s="44" t="str">
        <f>IF(COUNTA(B801)&gt;0,793,"")</f>
        <v/>
      </c>
      <c r="G801" s="25" t="str">
        <f t="shared" si="0"/>
        <v/>
      </c>
      <c r="N801" s="44" t="str">
        <f>IF(COUNTA(B801)&gt;0,C5,"")</f>
        <v/>
      </c>
      <c r="AO801" t="str">
        <f t="shared" si="13"/>
        <v/>
      </c>
    </row>
    <row r="802" spans="1:41" x14ac:dyDescent="0.2">
      <c r="A802" s="44" t="str">
        <f>IF(COUNTA(B802)&gt;0,794,"")</f>
        <v/>
      </c>
      <c r="G802" s="25" t="str">
        <f t="shared" si="0"/>
        <v/>
      </c>
      <c r="N802" s="44" t="str">
        <f>IF(COUNTA(B802)&gt;0,C5,"")</f>
        <v/>
      </c>
      <c r="AO802" t="str">
        <f t="shared" si="13"/>
        <v/>
      </c>
    </row>
    <row r="803" spans="1:41" x14ac:dyDescent="0.2">
      <c r="A803" s="44" t="str">
        <f>IF(COUNTA(B803)&gt;0,795,"")</f>
        <v/>
      </c>
      <c r="G803" s="25" t="str">
        <f t="shared" si="0"/>
        <v/>
      </c>
      <c r="N803" s="44" t="str">
        <f>IF(COUNTA(B803)&gt;0,C5,"")</f>
        <v/>
      </c>
      <c r="AO803" t="str">
        <f t="shared" si="13"/>
        <v/>
      </c>
    </row>
    <row r="804" spans="1:41" x14ac:dyDescent="0.2">
      <c r="A804" s="44" t="str">
        <f>IF(COUNTA(B804)&gt;0,796,"")</f>
        <v/>
      </c>
      <c r="G804" s="25" t="str">
        <f t="shared" si="0"/>
        <v/>
      </c>
      <c r="N804" s="44" t="str">
        <f>IF(COUNTA(B804)&gt;0,C5,"")</f>
        <v/>
      </c>
      <c r="AO804" t="str">
        <f t="shared" si="13"/>
        <v/>
      </c>
    </row>
    <row r="805" spans="1:41" x14ac:dyDescent="0.2">
      <c r="A805" s="44" t="str">
        <f>IF(COUNTA(B805)&gt;0,797,"")</f>
        <v/>
      </c>
      <c r="G805" s="25" t="str">
        <f t="shared" si="0"/>
        <v/>
      </c>
      <c r="N805" s="44" t="str">
        <f>IF(COUNTA(B805)&gt;0,C5,"")</f>
        <v/>
      </c>
      <c r="AO805" t="str">
        <f t="shared" si="13"/>
        <v/>
      </c>
    </row>
    <row r="806" spans="1:41" x14ac:dyDescent="0.2">
      <c r="A806" s="44" t="str">
        <f>IF(COUNTA(B806)&gt;0,798,"")</f>
        <v/>
      </c>
      <c r="G806" s="25" t="str">
        <f t="shared" si="0"/>
        <v/>
      </c>
      <c r="N806" s="44" t="str">
        <f>IF(COUNTA(B806)&gt;0,C5,"")</f>
        <v/>
      </c>
      <c r="AO806" t="str">
        <f t="shared" si="13"/>
        <v/>
      </c>
    </row>
    <row r="807" spans="1:41" x14ac:dyDescent="0.2">
      <c r="A807" s="44" t="str">
        <f>IF(COUNTA(B807)&gt;0,799,"")</f>
        <v/>
      </c>
      <c r="G807" s="25" t="str">
        <f t="shared" si="0"/>
        <v/>
      </c>
      <c r="N807" s="44" t="str">
        <f>IF(COUNTA(B807)&gt;0,C5,"")</f>
        <v/>
      </c>
      <c r="AO807" t="str">
        <f t="shared" si="13"/>
        <v/>
      </c>
    </row>
    <row r="808" spans="1:41" x14ac:dyDescent="0.2">
      <c r="A808" s="44" t="str">
        <f>IF(COUNTA(B808)&gt;0,800,"")</f>
        <v/>
      </c>
      <c r="G808" s="25" t="str">
        <f t="shared" si="0"/>
        <v/>
      </c>
      <c r="N808" s="44" t="str">
        <f>IF(COUNTA(B808)&gt;0,C5,"")</f>
        <v/>
      </c>
      <c r="AO808" t="str">
        <f t="shared" si="13"/>
        <v/>
      </c>
    </row>
    <row r="809" spans="1:41" x14ac:dyDescent="0.2">
      <c r="A809" s="44" t="str">
        <f>IF(COUNTA(B809)&gt;0,801,"")</f>
        <v/>
      </c>
      <c r="G809" s="25" t="str">
        <f t="shared" si="0"/>
        <v/>
      </c>
      <c r="N809" s="44" t="str">
        <f>IF(COUNTA(B809)&gt;0,C5,"")</f>
        <v/>
      </c>
      <c r="AO809" t="str">
        <f t="shared" si="13"/>
        <v/>
      </c>
    </row>
    <row r="810" spans="1:41" x14ac:dyDescent="0.2">
      <c r="A810" s="44" t="str">
        <f>IF(COUNTA(B810)&gt;0,802,"")</f>
        <v/>
      </c>
      <c r="G810" s="25" t="str">
        <f t="shared" si="0"/>
        <v/>
      </c>
      <c r="N810" s="44" t="str">
        <f>IF(COUNTA(B810)&gt;0,C5,"")</f>
        <v/>
      </c>
      <c r="AO810" t="str">
        <f t="shared" si="13"/>
        <v/>
      </c>
    </row>
    <row r="811" spans="1:41" x14ac:dyDescent="0.2">
      <c r="A811" s="44" t="str">
        <f>IF(COUNTA(B811)&gt;0,803,"")</f>
        <v/>
      </c>
      <c r="G811" s="25" t="str">
        <f t="shared" si="0"/>
        <v/>
      </c>
      <c r="N811" s="44" t="str">
        <f>IF(COUNTA(B811)&gt;0,C5,"")</f>
        <v/>
      </c>
      <c r="AO811" t="str">
        <f t="shared" si="13"/>
        <v/>
      </c>
    </row>
    <row r="812" spans="1:41" x14ac:dyDescent="0.2">
      <c r="A812" s="44" t="str">
        <f>IF(COUNTA(B812)&gt;0,804,"")</f>
        <v/>
      </c>
      <c r="G812" s="25" t="str">
        <f t="shared" si="0"/>
        <v/>
      </c>
      <c r="N812" s="44" t="str">
        <f>IF(COUNTA(B812)&gt;0,C5,"")</f>
        <v/>
      </c>
      <c r="AO812" t="str">
        <f t="shared" si="13"/>
        <v/>
      </c>
    </row>
    <row r="813" spans="1:41" x14ac:dyDescent="0.2">
      <c r="A813" s="44" t="str">
        <f>IF(COUNTA(B813)&gt;0,805,"")</f>
        <v/>
      </c>
      <c r="G813" s="25" t="str">
        <f t="shared" si="0"/>
        <v/>
      </c>
      <c r="N813" s="44" t="str">
        <f>IF(COUNTA(B813)&gt;0,C5,"")</f>
        <v/>
      </c>
      <c r="AO813" t="str">
        <f t="shared" si="13"/>
        <v/>
      </c>
    </row>
    <row r="814" spans="1:41" x14ac:dyDescent="0.2">
      <c r="A814" s="44" t="str">
        <f>IF(COUNTA(B814)&gt;0,806,"")</f>
        <v/>
      </c>
      <c r="G814" s="25" t="str">
        <f t="shared" si="0"/>
        <v/>
      </c>
      <c r="N814" s="44" t="str">
        <f>IF(COUNTA(B814)&gt;0,C5,"")</f>
        <v/>
      </c>
      <c r="AO814" t="str">
        <f t="shared" si="13"/>
        <v/>
      </c>
    </row>
    <row r="815" spans="1:41" x14ac:dyDescent="0.2">
      <c r="A815" s="44" t="str">
        <f>IF(COUNTA(B815)&gt;0,807,"")</f>
        <v/>
      </c>
      <c r="G815" s="25" t="str">
        <f t="shared" si="0"/>
        <v/>
      </c>
      <c r="N815" s="44" t="str">
        <f>IF(COUNTA(B815)&gt;0,C5,"")</f>
        <v/>
      </c>
      <c r="AO815" t="str">
        <f t="shared" si="13"/>
        <v/>
      </c>
    </row>
    <row r="816" spans="1:41" x14ac:dyDescent="0.2">
      <c r="A816" s="44" t="str">
        <f>IF(COUNTA(B816)&gt;0,808,"")</f>
        <v/>
      </c>
      <c r="G816" s="25" t="str">
        <f t="shared" si="0"/>
        <v/>
      </c>
      <c r="N816" s="44" t="str">
        <f>IF(COUNTA(B816)&gt;0,C5,"")</f>
        <v/>
      </c>
      <c r="AO816" t="str">
        <f t="shared" si="13"/>
        <v/>
      </c>
    </row>
    <row r="817" spans="1:41" x14ac:dyDescent="0.2">
      <c r="A817" s="44" t="str">
        <f>IF(COUNTA(B817)&gt;0,809,"")</f>
        <v/>
      </c>
      <c r="G817" s="25" t="str">
        <f t="shared" si="0"/>
        <v/>
      </c>
      <c r="N817" s="44" t="str">
        <f>IF(COUNTA(B817)&gt;0,C5,"")</f>
        <v/>
      </c>
      <c r="AO817" t="str">
        <f t="shared" si="13"/>
        <v/>
      </c>
    </row>
    <row r="818" spans="1:41" x14ac:dyDescent="0.2">
      <c r="A818" s="44" t="str">
        <f>IF(COUNTA(B818)&gt;0,810,"")</f>
        <v/>
      </c>
      <c r="G818" s="25" t="str">
        <f t="shared" si="0"/>
        <v/>
      </c>
      <c r="N818" s="44" t="str">
        <f>IF(COUNTA(B818)&gt;0,C5,"")</f>
        <v/>
      </c>
      <c r="AO818" t="str">
        <f t="shared" si="13"/>
        <v/>
      </c>
    </row>
    <row r="819" spans="1:41" x14ac:dyDescent="0.2">
      <c r="A819" s="44" t="str">
        <f>IF(COUNTA(B819)&gt;0,811,"")</f>
        <v/>
      </c>
      <c r="G819" s="25" t="str">
        <f t="shared" si="0"/>
        <v/>
      </c>
      <c r="N819" s="44" t="str">
        <f>IF(COUNTA(B819)&gt;0,C5,"")</f>
        <v/>
      </c>
      <c r="AO819" t="str">
        <f t="shared" si="13"/>
        <v/>
      </c>
    </row>
    <row r="820" spans="1:41" x14ac:dyDescent="0.2">
      <c r="A820" s="44" t="str">
        <f>IF(COUNTA(B820)&gt;0,812,"")</f>
        <v/>
      </c>
      <c r="G820" s="25" t="str">
        <f t="shared" si="0"/>
        <v/>
      </c>
      <c r="N820" s="44" t="str">
        <f>IF(COUNTA(B820)&gt;0,C5,"")</f>
        <v/>
      </c>
      <c r="AO820" t="str">
        <f t="shared" si="13"/>
        <v/>
      </c>
    </row>
    <row r="821" spans="1:41" x14ac:dyDescent="0.2">
      <c r="A821" s="44" t="str">
        <f>IF(COUNTA(B821)&gt;0,813,"")</f>
        <v/>
      </c>
      <c r="G821" s="25" t="str">
        <f t="shared" si="0"/>
        <v/>
      </c>
      <c r="N821" s="44" t="str">
        <f>IF(COUNTA(B821)&gt;0,C5,"")</f>
        <v/>
      </c>
      <c r="AO821" t="str">
        <f t="shared" si="13"/>
        <v/>
      </c>
    </row>
    <row r="822" spans="1:41" x14ac:dyDescent="0.2">
      <c r="A822" s="44" t="str">
        <f>IF(COUNTA(B822)&gt;0,814,"")</f>
        <v/>
      </c>
      <c r="G822" s="25" t="str">
        <f t="shared" si="0"/>
        <v/>
      </c>
      <c r="N822" s="44" t="str">
        <f>IF(COUNTA(B822)&gt;0,C5,"")</f>
        <v/>
      </c>
      <c r="AO822" t="str">
        <f t="shared" si="13"/>
        <v/>
      </c>
    </row>
    <row r="823" spans="1:41" x14ac:dyDescent="0.2">
      <c r="A823" s="44" t="str">
        <f>IF(COUNTA(B823)&gt;0,815,"")</f>
        <v/>
      </c>
      <c r="G823" s="25" t="str">
        <f t="shared" si="0"/>
        <v/>
      </c>
      <c r="N823" s="44" t="str">
        <f>IF(COUNTA(B823)&gt;0,C5,"")</f>
        <v/>
      </c>
      <c r="AO823" t="str">
        <f t="shared" si="13"/>
        <v/>
      </c>
    </row>
    <row r="824" spans="1:41" x14ac:dyDescent="0.2">
      <c r="A824" s="44" t="str">
        <f>IF(COUNTA(B824)&gt;0,816,"")</f>
        <v/>
      </c>
      <c r="G824" s="25" t="str">
        <f t="shared" si="0"/>
        <v/>
      </c>
      <c r="N824" s="44" t="str">
        <f>IF(COUNTA(B824)&gt;0,C5,"")</f>
        <v/>
      </c>
      <c r="AO824" t="str">
        <f t="shared" si="13"/>
        <v/>
      </c>
    </row>
    <row r="825" spans="1:41" x14ac:dyDescent="0.2">
      <c r="A825" s="44" t="str">
        <f>IF(COUNTA(B825)&gt;0,817,"")</f>
        <v/>
      </c>
      <c r="G825" s="25" t="str">
        <f t="shared" si="0"/>
        <v/>
      </c>
      <c r="N825" s="44" t="str">
        <f>IF(COUNTA(B825)&gt;0,C5,"")</f>
        <v/>
      </c>
      <c r="AO825" t="str">
        <f t="shared" si="13"/>
        <v/>
      </c>
    </row>
    <row r="826" spans="1:41" x14ac:dyDescent="0.2">
      <c r="A826" s="44" t="str">
        <f>IF(COUNTA(B826)&gt;0,818,"")</f>
        <v/>
      </c>
      <c r="G826" s="25" t="str">
        <f t="shared" si="0"/>
        <v/>
      </c>
      <c r="N826" s="44" t="str">
        <f>IF(COUNTA(B826)&gt;0,C5,"")</f>
        <v/>
      </c>
      <c r="AO826" t="str">
        <f t="shared" si="13"/>
        <v/>
      </c>
    </row>
    <row r="827" spans="1:41" x14ac:dyDescent="0.2">
      <c r="A827" s="44" t="str">
        <f>IF(COUNTA(B827)&gt;0,819,"")</f>
        <v/>
      </c>
      <c r="G827" s="25" t="str">
        <f t="shared" si="0"/>
        <v/>
      </c>
      <c r="N827" s="44" t="str">
        <f>IF(COUNTA(B827)&gt;0,C5,"")</f>
        <v/>
      </c>
      <c r="AO827" t="str">
        <f t="shared" si="13"/>
        <v/>
      </c>
    </row>
    <row r="828" spans="1:41" x14ac:dyDescent="0.2">
      <c r="A828" s="44" t="str">
        <f>IF(COUNTA(B828)&gt;0,820,"")</f>
        <v/>
      </c>
      <c r="G828" s="25" t="str">
        <f t="shared" si="0"/>
        <v/>
      </c>
      <c r="N828" s="44" t="str">
        <f>IF(COUNTA(B828)&gt;0,C5,"")</f>
        <v/>
      </c>
      <c r="AO828" t="str">
        <f t="shared" si="13"/>
        <v/>
      </c>
    </row>
    <row r="829" spans="1:41" x14ac:dyDescent="0.2">
      <c r="A829" s="44" t="str">
        <f>IF(COUNTA(B829)&gt;0,821,"")</f>
        <v/>
      </c>
      <c r="G829" s="25" t="str">
        <f t="shared" si="0"/>
        <v/>
      </c>
      <c r="N829" s="44" t="str">
        <f>IF(COUNTA(B829)&gt;0,C5,"")</f>
        <v/>
      </c>
      <c r="AO829" t="str">
        <f t="shared" si="13"/>
        <v/>
      </c>
    </row>
    <row r="830" spans="1:41" x14ac:dyDescent="0.2">
      <c r="A830" s="44" t="str">
        <f>IF(COUNTA(B830)&gt;0,822,"")</f>
        <v/>
      </c>
      <c r="G830" s="25" t="str">
        <f t="shared" si="0"/>
        <v/>
      </c>
      <c r="N830" s="44" t="str">
        <f>IF(COUNTA(B830)&gt;0,C5,"")</f>
        <v/>
      </c>
      <c r="AO830" t="str">
        <f t="shared" si="13"/>
        <v/>
      </c>
    </row>
    <row r="831" spans="1:41" x14ac:dyDescent="0.2">
      <c r="A831" s="44" t="str">
        <f>IF(COUNTA(B831)&gt;0,823,"")</f>
        <v/>
      </c>
      <c r="G831" s="25" t="str">
        <f t="shared" si="0"/>
        <v/>
      </c>
      <c r="N831" s="44" t="str">
        <f>IF(COUNTA(B831)&gt;0,C5,"")</f>
        <v/>
      </c>
      <c r="AO831" t="str">
        <f t="shared" si="13"/>
        <v/>
      </c>
    </row>
    <row r="832" spans="1:41" x14ac:dyDescent="0.2">
      <c r="A832" s="44" t="str">
        <f>IF(COUNTA(B832)&gt;0,824,"")</f>
        <v/>
      </c>
      <c r="G832" s="25" t="str">
        <f t="shared" si="0"/>
        <v/>
      </c>
      <c r="N832" s="44" t="str">
        <f>IF(COUNTA(B832)&gt;0,C5,"")</f>
        <v/>
      </c>
      <c r="AO832" t="str">
        <f t="shared" si="13"/>
        <v/>
      </c>
    </row>
    <row r="833" spans="1:41" x14ac:dyDescent="0.2">
      <c r="A833" s="44" t="str">
        <f>IF(COUNTA(B833)&gt;0,825,"")</f>
        <v/>
      </c>
      <c r="G833" s="25" t="str">
        <f t="shared" si="0"/>
        <v/>
      </c>
      <c r="N833" s="44" t="str">
        <f>IF(COUNTA(B833)&gt;0,C5,"")</f>
        <v/>
      </c>
      <c r="AO833" t="str">
        <f t="shared" si="13"/>
        <v/>
      </c>
    </row>
    <row r="834" spans="1:41" x14ac:dyDescent="0.2">
      <c r="A834" s="44" t="str">
        <f>IF(COUNTA(B834)&gt;0,826,"")</f>
        <v/>
      </c>
      <c r="G834" s="25" t="str">
        <f t="shared" si="0"/>
        <v/>
      </c>
      <c r="N834" s="44" t="str">
        <f>IF(COUNTA(B834)&gt;0,C5,"")</f>
        <v/>
      </c>
      <c r="AO834" t="str">
        <f t="shared" si="13"/>
        <v/>
      </c>
    </row>
    <row r="835" spans="1:41" x14ac:dyDescent="0.2">
      <c r="A835" s="44" t="str">
        <f>IF(COUNTA(B835)&gt;0,827,"")</f>
        <v/>
      </c>
      <c r="G835" s="25" t="str">
        <f t="shared" si="0"/>
        <v/>
      </c>
      <c r="N835" s="44" t="str">
        <f>IF(COUNTA(B835)&gt;0,C5,"")</f>
        <v/>
      </c>
      <c r="AO835" t="str">
        <f t="shared" si="13"/>
        <v/>
      </c>
    </row>
    <row r="836" spans="1:41" x14ac:dyDescent="0.2">
      <c r="A836" s="44" t="str">
        <f>IF(COUNTA(B836)&gt;0,828,"")</f>
        <v/>
      </c>
      <c r="G836" s="25" t="str">
        <f t="shared" si="0"/>
        <v/>
      </c>
      <c r="N836" s="44" t="str">
        <f>IF(COUNTA(B836)&gt;0,C5,"")</f>
        <v/>
      </c>
      <c r="AO836" t="str">
        <f t="shared" si="13"/>
        <v/>
      </c>
    </row>
    <row r="837" spans="1:41" x14ac:dyDescent="0.2">
      <c r="A837" s="44" t="str">
        <f>IF(COUNTA(B837)&gt;0,829,"")</f>
        <v/>
      </c>
      <c r="G837" s="25" t="str">
        <f t="shared" si="0"/>
        <v/>
      </c>
      <c r="N837" s="44" t="str">
        <f>IF(COUNTA(B837)&gt;0,C5,"")</f>
        <v/>
      </c>
      <c r="AO837" t="str">
        <f t="shared" si="13"/>
        <v/>
      </c>
    </row>
    <row r="838" spans="1:41" x14ac:dyDescent="0.2">
      <c r="A838" s="44" t="str">
        <f>IF(COUNTA(B838)&gt;0,830,"")</f>
        <v/>
      </c>
      <c r="G838" s="25" t="str">
        <f t="shared" si="0"/>
        <v/>
      </c>
      <c r="N838" s="44" t="str">
        <f>IF(COUNTA(B838)&gt;0,C5,"")</f>
        <v/>
      </c>
      <c r="AO838" t="str">
        <f t="shared" si="13"/>
        <v/>
      </c>
    </row>
    <row r="839" spans="1:41" x14ac:dyDescent="0.2">
      <c r="A839" s="44" t="str">
        <f>IF(COUNTA(B839)&gt;0,831,"")</f>
        <v/>
      </c>
      <c r="G839" s="25" t="str">
        <f t="shared" si="0"/>
        <v/>
      </c>
      <c r="N839" s="44" t="str">
        <f>IF(COUNTA(B839)&gt;0,C5,"")</f>
        <v/>
      </c>
      <c r="AO839" t="str">
        <f t="shared" si="13"/>
        <v/>
      </c>
    </row>
    <row r="840" spans="1:41" x14ac:dyDescent="0.2">
      <c r="A840" s="44" t="str">
        <f>IF(COUNTA(B840)&gt;0,832,"")</f>
        <v/>
      </c>
      <c r="G840" s="25" t="str">
        <f t="shared" si="0"/>
        <v/>
      </c>
      <c r="N840" s="44" t="str">
        <f>IF(COUNTA(B840)&gt;0,C5,"")</f>
        <v/>
      </c>
      <c r="AO840" t="str">
        <f t="shared" si="13"/>
        <v/>
      </c>
    </row>
    <row r="841" spans="1:41" x14ac:dyDescent="0.2">
      <c r="A841" s="44" t="str">
        <f>IF(COUNTA(B841)&gt;0,833,"")</f>
        <v/>
      </c>
      <c r="G841" s="25" t="str">
        <f t="shared" si="0"/>
        <v/>
      </c>
      <c r="N841" s="44" t="str">
        <f>IF(COUNTA(B841)&gt;0,C5,"")</f>
        <v/>
      </c>
      <c r="AO841" t="str">
        <f t="shared" ref="AO841:AO904" si="14">IF(COUNTA(L841:M841)&lt;&gt;0,"Có",IF(COUNTA(B841)&gt;0,"Không",""))</f>
        <v/>
      </c>
    </row>
    <row r="842" spans="1:41" x14ac:dyDescent="0.2">
      <c r="A842" s="44" t="str">
        <f>IF(COUNTA(B842)&gt;0,834,"")</f>
        <v/>
      </c>
      <c r="G842" s="25" t="str">
        <f t="shared" si="0"/>
        <v/>
      </c>
      <c r="N842" s="44" t="str">
        <f>IF(COUNTA(B842)&gt;0,C5,"")</f>
        <v/>
      </c>
      <c r="AO842" t="str">
        <f t="shared" si="14"/>
        <v/>
      </c>
    </row>
    <row r="843" spans="1:41" x14ac:dyDescent="0.2">
      <c r="A843" s="44" t="str">
        <f>IF(COUNTA(B843)&gt;0,835,"")</f>
        <v/>
      </c>
      <c r="G843" s="25" t="str">
        <f t="shared" si="0"/>
        <v/>
      </c>
      <c r="N843" s="44" t="str">
        <f>IF(COUNTA(B843)&gt;0,C5,"")</f>
        <v/>
      </c>
      <c r="AO843" t="str">
        <f t="shared" si="14"/>
        <v/>
      </c>
    </row>
    <row r="844" spans="1:41" x14ac:dyDescent="0.2">
      <c r="A844" s="44" t="str">
        <f>IF(COUNTA(B844)&gt;0,836,"")</f>
        <v/>
      </c>
      <c r="G844" s="25" t="str">
        <f t="shared" si="0"/>
        <v/>
      </c>
      <c r="N844" s="44" t="str">
        <f>IF(COUNTA(B844)&gt;0,C5,"")</f>
        <v/>
      </c>
      <c r="AO844" t="str">
        <f t="shared" si="14"/>
        <v/>
      </c>
    </row>
    <row r="845" spans="1:41" x14ac:dyDescent="0.2">
      <c r="A845" s="44" t="str">
        <f>IF(COUNTA(B845)&gt;0,837,"")</f>
        <v/>
      </c>
      <c r="G845" s="25" t="str">
        <f t="shared" si="0"/>
        <v/>
      </c>
      <c r="N845" s="44" t="str">
        <f>IF(COUNTA(B845)&gt;0,C5,"")</f>
        <v/>
      </c>
      <c r="AO845" t="str">
        <f t="shared" si="14"/>
        <v/>
      </c>
    </row>
    <row r="846" spans="1:41" x14ac:dyDescent="0.2">
      <c r="A846" s="44" t="str">
        <f>IF(COUNTA(B846)&gt;0,838,"")</f>
        <v/>
      </c>
      <c r="G846" s="25" t="str">
        <f t="shared" si="0"/>
        <v/>
      </c>
      <c r="N846" s="44" t="str">
        <f>IF(COUNTA(B846)&gt;0,C5,"")</f>
        <v/>
      </c>
      <c r="AO846" t="str">
        <f t="shared" si="14"/>
        <v/>
      </c>
    </row>
    <row r="847" spans="1:41" x14ac:dyDescent="0.2">
      <c r="A847" s="44" t="str">
        <f>IF(COUNTA(B847)&gt;0,839,"")</f>
        <v/>
      </c>
      <c r="G847" s="25" t="str">
        <f t="shared" si="0"/>
        <v/>
      </c>
      <c r="N847" s="44" t="str">
        <f>IF(COUNTA(B847)&gt;0,C5,"")</f>
        <v/>
      </c>
      <c r="AO847" t="str">
        <f t="shared" si="14"/>
        <v/>
      </c>
    </row>
    <row r="848" spans="1:41" x14ac:dyDescent="0.2">
      <c r="A848" s="44" t="str">
        <f>IF(COUNTA(B848)&gt;0,840,"")</f>
        <v/>
      </c>
      <c r="G848" s="25" t="str">
        <f t="shared" si="0"/>
        <v/>
      </c>
      <c r="N848" s="44" t="str">
        <f>IF(COUNTA(B848)&gt;0,C5,"")</f>
        <v/>
      </c>
      <c r="AO848" t="str">
        <f t="shared" si="14"/>
        <v/>
      </c>
    </row>
    <row r="849" spans="1:41" x14ac:dyDescent="0.2">
      <c r="A849" s="44" t="str">
        <f>IF(COUNTA(B849)&gt;0,841,"")</f>
        <v/>
      </c>
      <c r="G849" s="25" t="str">
        <f t="shared" si="0"/>
        <v/>
      </c>
      <c r="N849" s="44" t="str">
        <f>IF(COUNTA(B849)&gt;0,C5,"")</f>
        <v/>
      </c>
      <c r="AO849" t="str">
        <f t="shared" si="14"/>
        <v/>
      </c>
    </row>
    <row r="850" spans="1:41" x14ac:dyDescent="0.2">
      <c r="A850" s="44" t="str">
        <f>IF(COUNTA(B850)&gt;0,842,"")</f>
        <v/>
      </c>
      <c r="G850" s="25" t="str">
        <f t="shared" si="0"/>
        <v/>
      </c>
      <c r="N850" s="44" t="str">
        <f>IF(COUNTA(B850)&gt;0,C5,"")</f>
        <v/>
      </c>
      <c r="AO850" t="str">
        <f t="shared" si="14"/>
        <v/>
      </c>
    </row>
    <row r="851" spans="1:41" x14ac:dyDescent="0.2">
      <c r="A851" s="44" t="str">
        <f>IF(COUNTA(B851)&gt;0,843,"")</f>
        <v/>
      </c>
      <c r="G851" s="25" t="str">
        <f t="shared" si="0"/>
        <v/>
      </c>
      <c r="N851" s="44" t="str">
        <f>IF(COUNTA(B851)&gt;0,C5,"")</f>
        <v/>
      </c>
      <c r="AO851" t="str">
        <f t="shared" si="14"/>
        <v/>
      </c>
    </row>
    <row r="852" spans="1:41" x14ac:dyDescent="0.2">
      <c r="A852" s="44" t="str">
        <f>IF(COUNTA(B852)&gt;0,844,"")</f>
        <v/>
      </c>
      <c r="G852" s="25" t="str">
        <f t="shared" si="0"/>
        <v/>
      </c>
      <c r="N852" s="44" t="str">
        <f>IF(COUNTA(B852)&gt;0,C5,"")</f>
        <v/>
      </c>
      <c r="AO852" t="str">
        <f t="shared" si="14"/>
        <v/>
      </c>
    </row>
    <row r="853" spans="1:41" x14ac:dyDescent="0.2">
      <c r="A853" s="44" t="str">
        <f>IF(COUNTA(B853)&gt;0,845,"")</f>
        <v/>
      </c>
      <c r="G853" s="25" t="str">
        <f t="shared" si="0"/>
        <v/>
      </c>
      <c r="N853" s="44" t="str">
        <f>IF(COUNTA(B853)&gt;0,C5,"")</f>
        <v/>
      </c>
      <c r="AO853" t="str">
        <f t="shared" si="14"/>
        <v/>
      </c>
    </row>
    <row r="854" spans="1:41" x14ac:dyDescent="0.2">
      <c r="A854" s="44" t="str">
        <f>IF(COUNTA(B854)&gt;0,846,"")</f>
        <v/>
      </c>
      <c r="G854" s="25" t="str">
        <f t="shared" si="0"/>
        <v/>
      </c>
      <c r="N854" s="44" t="str">
        <f>IF(COUNTA(B854)&gt;0,C5,"")</f>
        <v/>
      </c>
      <c r="AO854" t="str">
        <f t="shared" si="14"/>
        <v/>
      </c>
    </row>
    <row r="855" spans="1:41" x14ac:dyDescent="0.2">
      <c r="A855" s="44" t="str">
        <f>IF(COUNTA(B855)&gt;0,847,"")</f>
        <v/>
      </c>
      <c r="G855" s="25" t="str">
        <f t="shared" si="0"/>
        <v/>
      </c>
      <c r="N855" s="44" t="str">
        <f>IF(COUNTA(B855)&gt;0,C5,"")</f>
        <v/>
      </c>
      <c r="AO855" t="str">
        <f t="shared" si="14"/>
        <v/>
      </c>
    </row>
    <row r="856" spans="1:41" x14ac:dyDescent="0.2">
      <c r="A856" s="44" t="str">
        <f>IF(COUNTA(B856)&gt;0,848,"")</f>
        <v/>
      </c>
      <c r="G856" s="25" t="str">
        <f t="shared" si="0"/>
        <v/>
      </c>
      <c r="N856" s="44" t="str">
        <f>IF(COUNTA(B856)&gt;0,C5,"")</f>
        <v/>
      </c>
      <c r="AO856" t="str">
        <f t="shared" si="14"/>
        <v/>
      </c>
    </row>
    <row r="857" spans="1:41" x14ac:dyDescent="0.2">
      <c r="A857" s="44" t="str">
        <f>IF(COUNTA(B857)&gt;0,849,"")</f>
        <v/>
      </c>
      <c r="G857" s="25" t="str">
        <f t="shared" si="0"/>
        <v/>
      </c>
      <c r="N857" s="44" t="str">
        <f>IF(COUNTA(B857)&gt;0,C5,"")</f>
        <v/>
      </c>
      <c r="AO857" t="str">
        <f t="shared" si="14"/>
        <v/>
      </c>
    </row>
    <row r="858" spans="1:41" x14ac:dyDescent="0.2">
      <c r="A858" s="44" t="str">
        <f>IF(COUNTA(B858)&gt;0,850,"")</f>
        <v/>
      </c>
      <c r="G858" s="25" t="str">
        <f t="shared" si="0"/>
        <v/>
      </c>
      <c r="N858" s="44" t="str">
        <f>IF(COUNTA(B858)&gt;0,C5,"")</f>
        <v/>
      </c>
      <c r="AO858" t="str">
        <f t="shared" si="14"/>
        <v/>
      </c>
    </row>
    <row r="859" spans="1:41" x14ac:dyDescent="0.2">
      <c r="A859" s="44" t="str">
        <f>IF(COUNTA(B859)&gt;0,851,"")</f>
        <v/>
      </c>
      <c r="G859" s="25" t="str">
        <f t="shared" si="0"/>
        <v/>
      </c>
      <c r="N859" s="44" t="str">
        <f>IF(COUNTA(B859)&gt;0,C5,"")</f>
        <v/>
      </c>
      <c r="AO859" t="str">
        <f t="shared" si="14"/>
        <v/>
      </c>
    </row>
    <row r="860" spans="1:41" x14ac:dyDescent="0.2">
      <c r="A860" s="44" t="str">
        <f>IF(COUNTA(B860)&gt;0,852,"")</f>
        <v/>
      </c>
      <c r="G860" s="25" t="str">
        <f t="shared" si="0"/>
        <v/>
      </c>
      <c r="N860" s="44" t="str">
        <f>IF(COUNTA(B860)&gt;0,C5,"")</f>
        <v/>
      </c>
      <c r="AO860" t="str">
        <f t="shared" si="14"/>
        <v/>
      </c>
    </row>
    <row r="861" spans="1:41" x14ac:dyDescent="0.2">
      <c r="A861" s="44" t="str">
        <f>IF(COUNTA(B861)&gt;0,853,"")</f>
        <v/>
      </c>
      <c r="G861" s="25" t="str">
        <f t="shared" si="0"/>
        <v/>
      </c>
      <c r="N861" s="44" t="str">
        <f>IF(COUNTA(B861)&gt;0,C5,"")</f>
        <v/>
      </c>
      <c r="AO861" t="str">
        <f t="shared" si="14"/>
        <v/>
      </c>
    </row>
    <row r="862" spans="1:41" x14ac:dyDescent="0.2">
      <c r="A862" s="44" t="str">
        <f>IF(COUNTA(B862)&gt;0,854,"")</f>
        <v/>
      </c>
      <c r="G862" s="25" t="str">
        <f t="shared" si="0"/>
        <v/>
      </c>
      <c r="N862" s="44" t="str">
        <f>IF(COUNTA(B862)&gt;0,C5,"")</f>
        <v/>
      </c>
      <c r="AO862" t="str">
        <f t="shared" si="14"/>
        <v/>
      </c>
    </row>
    <row r="863" spans="1:41" x14ac:dyDescent="0.2">
      <c r="A863" s="44" t="str">
        <f>IF(COUNTA(B863)&gt;0,855,"")</f>
        <v/>
      </c>
      <c r="G863" s="25" t="str">
        <f t="shared" si="0"/>
        <v/>
      </c>
      <c r="N863" s="44" t="str">
        <f>IF(COUNTA(B863)&gt;0,C5,"")</f>
        <v/>
      </c>
      <c r="AO863" t="str">
        <f t="shared" si="14"/>
        <v/>
      </c>
    </row>
    <row r="864" spans="1:41" x14ac:dyDescent="0.2">
      <c r="A864" s="44" t="str">
        <f>IF(COUNTA(B864)&gt;0,856,"")</f>
        <v/>
      </c>
      <c r="G864" s="25" t="str">
        <f t="shared" si="0"/>
        <v/>
      </c>
      <c r="N864" s="44" t="str">
        <f>IF(COUNTA(B864)&gt;0,C5,"")</f>
        <v/>
      </c>
      <c r="AO864" t="str">
        <f t="shared" si="14"/>
        <v/>
      </c>
    </row>
    <row r="865" spans="1:41" x14ac:dyDescent="0.2">
      <c r="A865" s="44" t="str">
        <f>IF(COUNTA(B865)&gt;0,857,"")</f>
        <v/>
      </c>
      <c r="G865" s="25" t="str">
        <f t="shared" si="0"/>
        <v/>
      </c>
      <c r="N865" s="44" t="str">
        <f>IF(COUNTA(B865)&gt;0,C5,"")</f>
        <v/>
      </c>
      <c r="AO865" t="str">
        <f t="shared" si="14"/>
        <v/>
      </c>
    </row>
    <row r="866" spans="1:41" x14ac:dyDescent="0.2">
      <c r="A866" s="44" t="str">
        <f>IF(COUNTA(B866)&gt;0,858,"")</f>
        <v/>
      </c>
      <c r="G866" s="25" t="str">
        <f t="shared" si="0"/>
        <v/>
      </c>
      <c r="N866" s="44" t="str">
        <f>IF(COUNTA(B866)&gt;0,C5,"")</f>
        <v/>
      </c>
      <c r="AO866" t="str">
        <f t="shared" si="14"/>
        <v/>
      </c>
    </row>
    <row r="867" spans="1:41" x14ac:dyDescent="0.2">
      <c r="A867" s="44" t="str">
        <f>IF(COUNTA(B867)&gt;0,859,"")</f>
        <v/>
      </c>
      <c r="G867" s="25" t="str">
        <f t="shared" si="0"/>
        <v/>
      </c>
      <c r="N867" s="44" t="str">
        <f>IF(COUNTA(B867)&gt;0,C5,"")</f>
        <v/>
      </c>
      <c r="AO867" t="str">
        <f t="shared" si="14"/>
        <v/>
      </c>
    </row>
    <row r="868" spans="1:41" x14ac:dyDescent="0.2">
      <c r="A868" s="44" t="str">
        <f>IF(COUNTA(B868)&gt;0,860,"")</f>
        <v/>
      </c>
      <c r="G868" s="25" t="str">
        <f t="shared" si="0"/>
        <v/>
      </c>
      <c r="N868" s="44" t="str">
        <f>IF(COUNTA(B868)&gt;0,C5,"")</f>
        <v/>
      </c>
      <c r="AO868" t="str">
        <f t="shared" si="14"/>
        <v/>
      </c>
    </row>
    <row r="869" spans="1:41" x14ac:dyDescent="0.2">
      <c r="A869" s="44" t="str">
        <f>IF(COUNTA(B869)&gt;0,861,"")</f>
        <v/>
      </c>
      <c r="G869" s="25" t="str">
        <f t="shared" si="0"/>
        <v/>
      </c>
      <c r="N869" s="44" t="str">
        <f>IF(COUNTA(B869)&gt;0,C5,"")</f>
        <v/>
      </c>
      <c r="AO869" t="str">
        <f t="shared" si="14"/>
        <v/>
      </c>
    </row>
    <row r="870" spans="1:41" x14ac:dyDescent="0.2">
      <c r="A870" s="44" t="str">
        <f>IF(COUNTA(B870)&gt;0,862,"")</f>
        <v/>
      </c>
      <c r="G870" s="25" t="str">
        <f t="shared" si="0"/>
        <v/>
      </c>
      <c r="N870" s="44" t="str">
        <f>IF(COUNTA(B870)&gt;0,C5,"")</f>
        <v/>
      </c>
      <c r="AO870" t="str">
        <f t="shared" si="14"/>
        <v/>
      </c>
    </row>
    <row r="871" spans="1:41" x14ac:dyDescent="0.2">
      <c r="A871" s="44" t="str">
        <f>IF(COUNTA(B871)&gt;0,863,"")</f>
        <v/>
      </c>
      <c r="G871" s="25" t="str">
        <f t="shared" si="0"/>
        <v/>
      </c>
      <c r="N871" s="44" t="str">
        <f>IF(COUNTA(B871)&gt;0,C5,"")</f>
        <v/>
      </c>
      <c r="AO871" t="str">
        <f t="shared" si="14"/>
        <v/>
      </c>
    </row>
    <row r="872" spans="1:41" x14ac:dyDescent="0.2">
      <c r="A872" s="44" t="str">
        <f>IF(COUNTA(B872)&gt;0,864,"")</f>
        <v/>
      </c>
      <c r="G872" s="25" t="str">
        <f t="shared" si="0"/>
        <v/>
      </c>
      <c r="N872" s="44" t="str">
        <f>IF(COUNTA(B872)&gt;0,C5,"")</f>
        <v/>
      </c>
      <c r="AO872" t="str">
        <f t="shared" si="14"/>
        <v/>
      </c>
    </row>
    <row r="873" spans="1:41" x14ac:dyDescent="0.2">
      <c r="A873" s="44" t="str">
        <f>IF(COUNTA(B873)&gt;0,865,"")</f>
        <v/>
      </c>
      <c r="G873" s="25" t="str">
        <f t="shared" si="0"/>
        <v/>
      </c>
      <c r="N873" s="44" t="str">
        <f>IF(COUNTA(B873)&gt;0,C5,"")</f>
        <v/>
      </c>
      <c r="AO873" t="str">
        <f t="shared" si="14"/>
        <v/>
      </c>
    </row>
    <row r="874" spans="1:41" x14ac:dyDescent="0.2">
      <c r="A874" s="44" t="str">
        <f>IF(COUNTA(B874)&gt;0,866,"")</f>
        <v/>
      </c>
      <c r="G874" s="25" t="str">
        <f t="shared" si="0"/>
        <v/>
      </c>
      <c r="N874" s="44" t="str">
        <f>IF(COUNTA(B874)&gt;0,C5,"")</f>
        <v/>
      </c>
      <c r="AO874" t="str">
        <f t="shared" si="14"/>
        <v/>
      </c>
    </row>
    <row r="875" spans="1:41" x14ac:dyDescent="0.2">
      <c r="A875" s="44" t="str">
        <f>IF(COUNTA(B875)&gt;0,867,"")</f>
        <v/>
      </c>
      <c r="G875" s="25" t="str">
        <f t="shared" si="0"/>
        <v/>
      </c>
      <c r="N875" s="44" t="str">
        <f>IF(COUNTA(B875)&gt;0,C5,"")</f>
        <v/>
      </c>
      <c r="AO875" t="str">
        <f t="shared" si="14"/>
        <v/>
      </c>
    </row>
    <row r="876" spans="1:41" x14ac:dyDescent="0.2">
      <c r="A876" s="44" t="str">
        <f>IF(COUNTA(B876)&gt;0,868,"")</f>
        <v/>
      </c>
      <c r="G876" s="25" t="str">
        <f t="shared" si="0"/>
        <v/>
      </c>
      <c r="N876" s="44" t="str">
        <f>IF(COUNTA(B876)&gt;0,C5,"")</f>
        <v/>
      </c>
      <c r="AO876" t="str">
        <f t="shared" si="14"/>
        <v/>
      </c>
    </row>
    <row r="877" spans="1:41" x14ac:dyDescent="0.2">
      <c r="A877" s="44" t="str">
        <f>IF(COUNTA(B877)&gt;0,869,"")</f>
        <v/>
      </c>
      <c r="G877" s="25" t="str">
        <f t="shared" si="0"/>
        <v/>
      </c>
      <c r="N877" s="44" t="str">
        <f>IF(COUNTA(B877)&gt;0,C5,"")</f>
        <v/>
      </c>
      <c r="AO877" t="str">
        <f t="shared" si="14"/>
        <v/>
      </c>
    </row>
    <row r="878" spans="1:41" x14ac:dyDescent="0.2">
      <c r="A878" s="44" t="str">
        <f>IF(COUNTA(B878)&gt;0,870,"")</f>
        <v/>
      </c>
      <c r="G878" s="25" t="str">
        <f t="shared" si="0"/>
        <v/>
      </c>
      <c r="N878" s="44" t="str">
        <f>IF(COUNTA(B878)&gt;0,C5,"")</f>
        <v/>
      </c>
      <c r="AO878" t="str">
        <f t="shared" si="14"/>
        <v/>
      </c>
    </row>
    <row r="879" spans="1:41" x14ac:dyDescent="0.2">
      <c r="A879" s="44" t="str">
        <f>IF(COUNTA(B879)&gt;0,871,"")</f>
        <v/>
      </c>
      <c r="G879" s="25" t="str">
        <f t="shared" si="0"/>
        <v/>
      </c>
      <c r="N879" s="44" t="str">
        <f>IF(COUNTA(B879)&gt;0,C5,"")</f>
        <v/>
      </c>
      <c r="AO879" t="str">
        <f t="shared" si="14"/>
        <v/>
      </c>
    </row>
    <row r="880" spans="1:41" x14ac:dyDescent="0.2">
      <c r="A880" s="44" t="str">
        <f>IF(COUNTA(B880)&gt;0,872,"")</f>
        <v/>
      </c>
      <c r="G880" s="25" t="str">
        <f t="shared" si="0"/>
        <v/>
      </c>
      <c r="N880" s="44" t="str">
        <f>IF(COUNTA(B880)&gt;0,C5,"")</f>
        <v/>
      </c>
      <c r="AO880" t="str">
        <f t="shared" si="14"/>
        <v/>
      </c>
    </row>
    <row r="881" spans="1:41" x14ac:dyDescent="0.2">
      <c r="A881" s="44" t="str">
        <f>IF(COUNTA(B881)&gt;0,873,"")</f>
        <v/>
      </c>
      <c r="G881" s="25" t="str">
        <f t="shared" si="0"/>
        <v/>
      </c>
      <c r="N881" s="44" t="str">
        <f>IF(COUNTA(B881)&gt;0,C5,"")</f>
        <v/>
      </c>
      <c r="AO881" t="str">
        <f t="shared" si="14"/>
        <v/>
      </c>
    </row>
    <row r="882" spans="1:41" x14ac:dyDescent="0.2">
      <c r="A882" s="44" t="str">
        <f>IF(COUNTA(B882)&gt;0,874,"")</f>
        <v/>
      </c>
      <c r="G882" s="25" t="str">
        <f t="shared" si="0"/>
        <v/>
      </c>
      <c r="N882" s="44" t="str">
        <f>IF(COUNTA(B882)&gt;0,C5,"")</f>
        <v/>
      </c>
      <c r="AO882" t="str">
        <f t="shared" si="14"/>
        <v/>
      </c>
    </row>
    <row r="883" spans="1:41" x14ac:dyDescent="0.2">
      <c r="A883" s="44" t="str">
        <f>IF(COUNTA(B883)&gt;0,875,"")</f>
        <v/>
      </c>
      <c r="G883" s="25" t="str">
        <f t="shared" si="0"/>
        <v/>
      </c>
      <c r="N883" s="44" t="str">
        <f>IF(COUNTA(B883)&gt;0,C5,"")</f>
        <v/>
      </c>
      <c r="AO883" t="str">
        <f t="shared" si="14"/>
        <v/>
      </c>
    </row>
    <row r="884" spans="1:41" x14ac:dyDescent="0.2">
      <c r="A884" s="44" t="str">
        <f>IF(COUNTA(B884)&gt;0,876,"")</f>
        <v/>
      </c>
      <c r="G884" s="25" t="str">
        <f t="shared" si="0"/>
        <v/>
      </c>
      <c r="N884" s="44" t="str">
        <f>IF(COUNTA(B884)&gt;0,C5,"")</f>
        <v/>
      </c>
      <c r="AO884" t="str">
        <f t="shared" si="14"/>
        <v/>
      </c>
    </row>
    <row r="885" spans="1:41" x14ac:dyDescent="0.2">
      <c r="A885" s="44" t="str">
        <f>IF(COUNTA(B885)&gt;0,877,"")</f>
        <v/>
      </c>
      <c r="G885" s="25" t="str">
        <f t="shared" si="0"/>
        <v/>
      </c>
      <c r="N885" s="44" t="str">
        <f>IF(COUNTA(B885)&gt;0,C5,"")</f>
        <v/>
      </c>
      <c r="AO885" t="str">
        <f t="shared" si="14"/>
        <v/>
      </c>
    </row>
    <row r="886" spans="1:41" x14ac:dyDescent="0.2">
      <c r="A886" s="44" t="str">
        <f>IF(COUNTA(B886)&gt;0,878,"")</f>
        <v/>
      </c>
      <c r="G886" s="25" t="str">
        <f t="shared" si="0"/>
        <v/>
      </c>
      <c r="N886" s="44" t="str">
        <f>IF(COUNTA(B886)&gt;0,C5,"")</f>
        <v/>
      </c>
      <c r="AO886" t="str">
        <f t="shared" si="14"/>
        <v/>
      </c>
    </row>
    <row r="887" spans="1:41" x14ac:dyDescent="0.2">
      <c r="A887" s="44" t="str">
        <f>IF(COUNTA(B887)&gt;0,879,"")</f>
        <v/>
      </c>
      <c r="G887" s="25" t="str">
        <f t="shared" si="0"/>
        <v/>
      </c>
      <c r="N887" s="44" t="str">
        <f>IF(COUNTA(B887)&gt;0,C5,"")</f>
        <v/>
      </c>
      <c r="AO887" t="str">
        <f t="shared" si="14"/>
        <v/>
      </c>
    </row>
    <row r="888" spans="1:41" x14ac:dyDescent="0.2">
      <c r="A888" s="44" t="str">
        <f>IF(COUNTA(B888)&gt;0,880,"")</f>
        <v/>
      </c>
      <c r="G888" s="25" t="str">
        <f t="shared" si="0"/>
        <v/>
      </c>
      <c r="N888" s="44" t="str">
        <f>IF(COUNTA(B888)&gt;0,C5,"")</f>
        <v/>
      </c>
      <c r="AO888" t="str">
        <f t="shared" si="14"/>
        <v/>
      </c>
    </row>
    <row r="889" spans="1:41" x14ac:dyDescent="0.2">
      <c r="A889" s="44" t="str">
        <f>IF(COUNTA(B889)&gt;0,881,"")</f>
        <v/>
      </c>
      <c r="G889" s="25" t="str">
        <f t="shared" si="0"/>
        <v/>
      </c>
      <c r="N889" s="44" t="str">
        <f>IF(COUNTA(B889)&gt;0,C5,"")</f>
        <v/>
      </c>
      <c r="AO889" t="str">
        <f t="shared" si="14"/>
        <v/>
      </c>
    </row>
    <row r="890" spans="1:41" x14ac:dyDescent="0.2">
      <c r="A890" s="44" t="str">
        <f>IF(COUNTA(B890)&gt;0,882,"")</f>
        <v/>
      </c>
      <c r="G890" s="25" t="str">
        <f t="shared" si="0"/>
        <v/>
      </c>
      <c r="N890" s="44" t="str">
        <f>IF(COUNTA(B890)&gt;0,C5,"")</f>
        <v/>
      </c>
      <c r="AO890" t="str">
        <f t="shared" si="14"/>
        <v/>
      </c>
    </row>
    <row r="891" spans="1:41" x14ac:dyDescent="0.2">
      <c r="A891" s="44" t="str">
        <f>IF(COUNTA(B891)&gt;0,883,"")</f>
        <v/>
      </c>
      <c r="G891" s="25" t="str">
        <f t="shared" si="0"/>
        <v/>
      </c>
      <c r="N891" s="44" t="str">
        <f>IF(COUNTA(B891)&gt;0,C5,"")</f>
        <v/>
      </c>
      <c r="AO891" t="str">
        <f t="shared" si="14"/>
        <v/>
      </c>
    </row>
    <row r="892" spans="1:41" x14ac:dyDescent="0.2">
      <c r="A892" s="44" t="str">
        <f>IF(COUNTA(B892)&gt;0,884,"")</f>
        <v/>
      </c>
      <c r="G892" s="25" t="str">
        <f t="shared" si="0"/>
        <v/>
      </c>
      <c r="N892" s="44" t="str">
        <f>IF(COUNTA(B892)&gt;0,C5,"")</f>
        <v/>
      </c>
      <c r="AO892" t="str">
        <f t="shared" si="14"/>
        <v/>
      </c>
    </row>
    <row r="893" spans="1:41" x14ac:dyDescent="0.2">
      <c r="A893" s="44" t="str">
        <f>IF(COUNTA(B893)&gt;0,885,"")</f>
        <v/>
      </c>
      <c r="G893" s="25" t="str">
        <f t="shared" si="0"/>
        <v/>
      </c>
      <c r="N893" s="44" t="str">
        <f>IF(COUNTA(B893)&gt;0,C5,"")</f>
        <v/>
      </c>
      <c r="AO893" t="str">
        <f t="shared" si="14"/>
        <v/>
      </c>
    </row>
    <row r="894" spans="1:41" x14ac:dyDescent="0.2">
      <c r="A894" s="44" t="str">
        <f>IF(COUNTA(B894)&gt;0,886,"")</f>
        <v/>
      </c>
      <c r="G894" s="25" t="str">
        <f t="shared" si="0"/>
        <v/>
      </c>
      <c r="N894" s="44" t="str">
        <f>IF(COUNTA(B894)&gt;0,C5,"")</f>
        <v/>
      </c>
      <c r="AO894" t="str">
        <f t="shared" si="14"/>
        <v/>
      </c>
    </row>
    <row r="895" spans="1:41" x14ac:dyDescent="0.2">
      <c r="A895" s="44" t="str">
        <f>IF(COUNTA(B895)&gt;0,887,"")</f>
        <v/>
      </c>
      <c r="G895" s="25" t="str">
        <f t="shared" si="0"/>
        <v/>
      </c>
      <c r="N895" s="44" t="str">
        <f>IF(COUNTA(B895)&gt;0,C5,"")</f>
        <v/>
      </c>
      <c r="AO895" t="str">
        <f t="shared" si="14"/>
        <v/>
      </c>
    </row>
    <row r="896" spans="1:41" x14ac:dyDescent="0.2">
      <c r="A896" s="44" t="str">
        <f>IF(COUNTA(B896)&gt;0,888,"")</f>
        <v/>
      </c>
      <c r="G896" s="25" t="str">
        <f t="shared" si="0"/>
        <v/>
      </c>
      <c r="N896" s="44" t="str">
        <f>IF(COUNTA(B896)&gt;0,C5,"")</f>
        <v/>
      </c>
      <c r="AO896" t="str">
        <f t="shared" si="14"/>
        <v/>
      </c>
    </row>
    <row r="897" spans="1:41" x14ac:dyDescent="0.2">
      <c r="A897" s="44" t="str">
        <f>IF(COUNTA(B897)&gt;0,889,"")</f>
        <v/>
      </c>
      <c r="G897" s="25" t="str">
        <f t="shared" si="0"/>
        <v/>
      </c>
      <c r="N897" s="44" t="str">
        <f>IF(COUNTA(B897)&gt;0,C5,"")</f>
        <v/>
      </c>
      <c r="AO897" t="str">
        <f t="shared" si="14"/>
        <v/>
      </c>
    </row>
    <row r="898" spans="1:41" x14ac:dyDescent="0.2">
      <c r="A898" s="44" t="str">
        <f>IF(COUNTA(B898)&gt;0,890,"")</f>
        <v/>
      </c>
      <c r="G898" s="25" t="str">
        <f t="shared" si="0"/>
        <v/>
      </c>
      <c r="N898" s="44" t="str">
        <f>IF(COUNTA(B898)&gt;0,C5,"")</f>
        <v/>
      </c>
      <c r="AO898" t="str">
        <f t="shared" si="14"/>
        <v/>
      </c>
    </row>
    <row r="899" spans="1:41" x14ac:dyDescent="0.2">
      <c r="A899" s="44" t="str">
        <f>IF(COUNTA(B899)&gt;0,891,"")</f>
        <v/>
      </c>
      <c r="G899" s="25" t="str">
        <f t="shared" si="0"/>
        <v/>
      </c>
      <c r="N899" s="44" t="str">
        <f>IF(COUNTA(B899)&gt;0,C5,"")</f>
        <v/>
      </c>
      <c r="AO899" t="str">
        <f t="shared" si="14"/>
        <v/>
      </c>
    </row>
    <row r="900" spans="1:41" x14ac:dyDescent="0.2">
      <c r="A900" s="44" t="str">
        <f>IF(COUNTA(B900)&gt;0,892,"")</f>
        <v/>
      </c>
      <c r="G900" s="25" t="str">
        <f t="shared" si="0"/>
        <v/>
      </c>
      <c r="N900" s="44" t="str">
        <f>IF(COUNTA(B900)&gt;0,C5,"")</f>
        <v/>
      </c>
      <c r="AO900" t="str">
        <f t="shared" si="14"/>
        <v/>
      </c>
    </row>
    <row r="901" spans="1:41" x14ac:dyDescent="0.2">
      <c r="A901" s="44" t="str">
        <f>IF(COUNTA(B901)&gt;0,893,"")</f>
        <v/>
      </c>
      <c r="G901" s="25" t="str">
        <f t="shared" si="0"/>
        <v/>
      </c>
      <c r="N901" s="44" t="str">
        <f>IF(COUNTA(B901)&gt;0,C5,"")</f>
        <v/>
      </c>
      <c r="AO901" t="str">
        <f t="shared" si="14"/>
        <v/>
      </c>
    </row>
    <row r="902" spans="1:41" x14ac:dyDescent="0.2">
      <c r="A902" s="44" t="str">
        <f>IF(COUNTA(B902)&gt;0,894,"")</f>
        <v/>
      </c>
      <c r="G902" s="25" t="str">
        <f t="shared" si="0"/>
        <v/>
      </c>
      <c r="N902" s="44" t="str">
        <f>IF(COUNTA(B902)&gt;0,C5,"")</f>
        <v/>
      </c>
      <c r="AO902" t="str">
        <f t="shared" si="14"/>
        <v/>
      </c>
    </row>
    <row r="903" spans="1:41" x14ac:dyDescent="0.2">
      <c r="A903" s="44" t="str">
        <f>IF(COUNTA(B903)&gt;0,895,"")</f>
        <v/>
      </c>
      <c r="G903" s="25" t="str">
        <f t="shared" si="0"/>
        <v/>
      </c>
      <c r="N903" s="44" t="str">
        <f>IF(COUNTA(B903)&gt;0,C5,"")</f>
        <v/>
      </c>
      <c r="AO903" t="str">
        <f t="shared" si="14"/>
        <v/>
      </c>
    </row>
    <row r="904" spans="1:41" x14ac:dyDescent="0.2">
      <c r="A904" s="44" t="str">
        <f>IF(COUNTA(B904)&gt;0,896,"")</f>
        <v/>
      </c>
      <c r="G904" s="25" t="str">
        <f t="shared" si="0"/>
        <v/>
      </c>
      <c r="N904" s="44" t="str">
        <f>IF(COUNTA(B904)&gt;0,C5,"")</f>
        <v/>
      </c>
      <c r="AO904" t="str">
        <f t="shared" si="14"/>
        <v/>
      </c>
    </row>
    <row r="905" spans="1:41" x14ac:dyDescent="0.2">
      <c r="A905" s="44" t="str">
        <f>IF(COUNTA(B905)&gt;0,897,"")</f>
        <v/>
      </c>
      <c r="G905" s="25" t="str">
        <f t="shared" si="0"/>
        <v/>
      </c>
      <c r="N905" s="44" t="str">
        <f>IF(COUNTA(B905)&gt;0,C5,"")</f>
        <v/>
      </c>
      <c r="AO905" t="str">
        <f t="shared" ref="AO905:AO968" si="15">IF(COUNTA(L905:M905)&lt;&gt;0,"Có",IF(COUNTA(B905)&gt;0,"Không",""))</f>
        <v/>
      </c>
    </row>
    <row r="906" spans="1:41" x14ac:dyDescent="0.2">
      <c r="A906" s="44" t="str">
        <f>IF(COUNTA(B906)&gt;0,898,"")</f>
        <v/>
      </c>
      <c r="G906" s="25" t="str">
        <f t="shared" si="0"/>
        <v/>
      </c>
      <c r="N906" s="44" t="str">
        <f>IF(COUNTA(B906)&gt;0,C5,"")</f>
        <v/>
      </c>
      <c r="AO906" t="str">
        <f t="shared" si="15"/>
        <v/>
      </c>
    </row>
    <row r="907" spans="1:41" x14ac:dyDescent="0.2">
      <c r="A907" s="44" t="str">
        <f>IF(COUNTA(B907)&gt;0,899,"")</f>
        <v/>
      </c>
      <c r="G907" s="25" t="str">
        <f t="shared" si="0"/>
        <v/>
      </c>
      <c r="N907" s="44" t="str">
        <f>IF(COUNTA(B907)&gt;0,C5,"")</f>
        <v/>
      </c>
      <c r="AO907" t="str">
        <f t="shared" si="15"/>
        <v/>
      </c>
    </row>
    <row r="908" spans="1:41" x14ac:dyDescent="0.2">
      <c r="A908" s="44" t="str">
        <f>IF(COUNTA(B908)&gt;0,900,"")</f>
        <v/>
      </c>
      <c r="G908" s="25" t="str">
        <f t="shared" si="0"/>
        <v/>
      </c>
      <c r="N908" s="44" t="str">
        <f>IF(COUNTA(B908)&gt;0,C5,"")</f>
        <v/>
      </c>
      <c r="AO908" t="str">
        <f t="shared" si="15"/>
        <v/>
      </c>
    </row>
    <row r="909" spans="1:41" x14ac:dyDescent="0.2">
      <c r="A909" s="44" t="str">
        <f>IF(COUNTA(B909)&gt;0,901,"")</f>
        <v/>
      </c>
      <c r="G909" s="25" t="str">
        <f t="shared" si="0"/>
        <v/>
      </c>
      <c r="N909" s="44" t="str">
        <f>IF(COUNTA(B909)&gt;0,C5,"")</f>
        <v/>
      </c>
      <c r="AO909" t="str">
        <f t="shared" si="15"/>
        <v/>
      </c>
    </row>
    <row r="910" spans="1:41" x14ac:dyDescent="0.2">
      <c r="A910" s="44" t="str">
        <f>IF(COUNTA(B910)&gt;0,902,"")</f>
        <v/>
      </c>
      <c r="G910" s="25" t="str">
        <f t="shared" si="0"/>
        <v/>
      </c>
      <c r="N910" s="44" t="str">
        <f>IF(COUNTA(B910)&gt;0,C5,"")</f>
        <v/>
      </c>
      <c r="AO910" t="str">
        <f t="shared" si="15"/>
        <v/>
      </c>
    </row>
    <row r="911" spans="1:41" x14ac:dyDescent="0.2">
      <c r="A911" s="44" t="str">
        <f>IF(COUNTA(B911)&gt;0,903,"")</f>
        <v/>
      </c>
      <c r="G911" s="25" t="str">
        <f t="shared" si="0"/>
        <v/>
      </c>
      <c r="N911" s="44" t="str">
        <f>IF(COUNTA(B911)&gt;0,C5,"")</f>
        <v/>
      </c>
      <c r="AO911" t="str">
        <f t="shared" si="15"/>
        <v/>
      </c>
    </row>
    <row r="912" spans="1:41" x14ac:dyDescent="0.2">
      <c r="A912" s="44" t="str">
        <f>IF(COUNTA(B912)&gt;0,904,"")</f>
        <v/>
      </c>
      <c r="G912" s="25" t="str">
        <f t="shared" si="0"/>
        <v/>
      </c>
      <c r="N912" s="44" t="str">
        <f>IF(COUNTA(B912)&gt;0,C5,"")</f>
        <v/>
      </c>
      <c r="AO912" t="str">
        <f t="shared" si="15"/>
        <v/>
      </c>
    </row>
    <row r="913" spans="1:41" x14ac:dyDescent="0.2">
      <c r="A913" s="44" t="str">
        <f>IF(COUNTA(B913)&gt;0,905,"")</f>
        <v/>
      </c>
      <c r="G913" s="25" t="str">
        <f t="shared" si="0"/>
        <v/>
      </c>
      <c r="N913" s="44" t="str">
        <f>IF(COUNTA(B913)&gt;0,C5,"")</f>
        <v/>
      </c>
      <c r="AO913" t="str">
        <f t="shared" si="15"/>
        <v/>
      </c>
    </row>
    <row r="914" spans="1:41" x14ac:dyDescent="0.2">
      <c r="A914" s="44" t="str">
        <f>IF(COUNTA(B914)&gt;0,906,"")</f>
        <v/>
      </c>
      <c r="G914" s="25" t="str">
        <f t="shared" si="0"/>
        <v/>
      </c>
      <c r="N914" s="44" t="str">
        <f>IF(COUNTA(B914)&gt;0,C5,"")</f>
        <v/>
      </c>
      <c r="AO914" t="str">
        <f t="shared" si="15"/>
        <v/>
      </c>
    </row>
    <row r="915" spans="1:41" x14ac:dyDescent="0.2">
      <c r="A915" s="44" t="str">
        <f>IF(COUNTA(B915)&gt;0,907,"")</f>
        <v/>
      </c>
      <c r="G915" s="25" t="str">
        <f t="shared" si="0"/>
        <v/>
      </c>
      <c r="N915" s="44" t="str">
        <f>IF(COUNTA(B915)&gt;0,C5,"")</f>
        <v/>
      </c>
      <c r="AO915" t="str">
        <f t="shared" si="15"/>
        <v/>
      </c>
    </row>
    <row r="916" spans="1:41" x14ac:dyDescent="0.2">
      <c r="A916" s="44" t="str">
        <f>IF(COUNTA(B916)&gt;0,908,"")</f>
        <v/>
      </c>
      <c r="G916" s="25" t="str">
        <f t="shared" si="0"/>
        <v/>
      </c>
      <c r="N916" s="44" t="str">
        <f>IF(COUNTA(B916)&gt;0,C5,"")</f>
        <v/>
      </c>
      <c r="AO916" t="str">
        <f t="shared" si="15"/>
        <v/>
      </c>
    </row>
    <row r="917" spans="1:41" x14ac:dyDescent="0.2">
      <c r="A917" s="44" t="str">
        <f>IF(COUNTA(B917)&gt;0,909,"")</f>
        <v/>
      </c>
      <c r="G917" s="25" t="str">
        <f t="shared" si="0"/>
        <v/>
      </c>
      <c r="N917" s="44" t="str">
        <f>IF(COUNTA(B917)&gt;0,C5,"")</f>
        <v/>
      </c>
      <c r="AO917" t="str">
        <f t="shared" si="15"/>
        <v/>
      </c>
    </row>
    <row r="918" spans="1:41" x14ac:dyDescent="0.2">
      <c r="A918" s="44" t="str">
        <f>IF(COUNTA(B918)&gt;0,910,"")</f>
        <v/>
      </c>
      <c r="G918" s="25" t="str">
        <f t="shared" si="0"/>
        <v/>
      </c>
      <c r="N918" s="44" t="str">
        <f>IF(COUNTA(B918)&gt;0,C5,"")</f>
        <v/>
      </c>
      <c r="AO918" t="str">
        <f t="shared" si="15"/>
        <v/>
      </c>
    </row>
    <row r="919" spans="1:41" x14ac:dyDescent="0.2">
      <c r="A919" s="44" t="str">
        <f>IF(COUNTA(B919)&gt;0,911,"")</f>
        <v/>
      </c>
      <c r="G919" s="25" t="str">
        <f t="shared" si="0"/>
        <v/>
      </c>
      <c r="N919" s="44" t="str">
        <f>IF(COUNTA(B919)&gt;0,C5,"")</f>
        <v/>
      </c>
      <c r="AO919" t="str">
        <f t="shared" si="15"/>
        <v/>
      </c>
    </row>
    <row r="920" spans="1:41" x14ac:dyDescent="0.2">
      <c r="A920" s="44" t="str">
        <f>IF(COUNTA(B920)&gt;0,912,"")</f>
        <v/>
      </c>
      <c r="G920" s="25" t="str">
        <f t="shared" si="0"/>
        <v/>
      </c>
      <c r="N920" s="44" t="str">
        <f>IF(COUNTA(B920)&gt;0,C5,"")</f>
        <v/>
      </c>
      <c r="AO920" t="str">
        <f t="shared" si="15"/>
        <v/>
      </c>
    </row>
    <row r="921" spans="1:41" x14ac:dyDescent="0.2">
      <c r="A921" s="44" t="str">
        <f>IF(COUNTA(B921)&gt;0,913,"")</f>
        <v/>
      </c>
      <c r="G921" s="25" t="str">
        <f t="shared" si="0"/>
        <v/>
      </c>
      <c r="N921" s="44" t="str">
        <f>IF(COUNTA(B921)&gt;0,C5,"")</f>
        <v/>
      </c>
      <c r="AO921" t="str">
        <f t="shared" si="15"/>
        <v/>
      </c>
    </row>
    <row r="922" spans="1:41" x14ac:dyDescent="0.2">
      <c r="A922" s="44" t="str">
        <f>IF(COUNTA(B922)&gt;0,914,"")</f>
        <v/>
      </c>
      <c r="G922" s="25" t="str">
        <f t="shared" si="0"/>
        <v/>
      </c>
      <c r="N922" s="44" t="str">
        <f>IF(COUNTA(B922)&gt;0,C5,"")</f>
        <v/>
      </c>
      <c r="AO922" t="str">
        <f t="shared" si="15"/>
        <v/>
      </c>
    </row>
    <row r="923" spans="1:41" x14ac:dyDescent="0.2">
      <c r="A923" s="44" t="str">
        <f>IF(COUNTA(B923)&gt;0,915,"")</f>
        <v/>
      </c>
      <c r="G923" s="25" t="str">
        <f t="shared" si="0"/>
        <v/>
      </c>
      <c r="N923" s="44" t="str">
        <f>IF(COUNTA(B923)&gt;0,C5,"")</f>
        <v/>
      </c>
      <c r="AO923" t="str">
        <f t="shared" si="15"/>
        <v/>
      </c>
    </row>
    <row r="924" spans="1:41" x14ac:dyDescent="0.2">
      <c r="A924" s="44" t="str">
        <f>IF(COUNTA(B924)&gt;0,916,"")</f>
        <v/>
      </c>
      <c r="G924" s="25" t="str">
        <f t="shared" si="0"/>
        <v/>
      </c>
      <c r="N924" s="44" t="str">
        <f>IF(COUNTA(B924)&gt;0,C5,"")</f>
        <v/>
      </c>
      <c r="AO924" t="str">
        <f t="shared" si="15"/>
        <v/>
      </c>
    </row>
    <row r="925" spans="1:41" x14ac:dyDescent="0.2">
      <c r="A925" s="44" t="str">
        <f>IF(COUNTA(B925)&gt;0,917,"")</f>
        <v/>
      </c>
      <c r="G925" s="25" t="str">
        <f t="shared" si="0"/>
        <v/>
      </c>
      <c r="N925" s="44" t="str">
        <f>IF(COUNTA(B925)&gt;0,C5,"")</f>
        <v/>
      </c>
      <c r="AO925" t="str">
        <f t="shared" si="15"/>
        <v/>
      </c>
    </row>
    <row r="926" spans="1:41" x14ac:dyDescent="0.2">
      <c r="A926" s="44" t="str">
        <f>IF(COUNTA(B926)&gt;0,918,"")</f>
        <v/>
      </c>
      <c r="G926" s="25" t="str">
        <f t="shared" si="0"/>
        <v/>
      </c>
      <c r="N926" s="44" t="str">
        <f>IF(COUNTA(B926)&gt;0,C5,"")</f>
        <v/>
      </c>
      <c r="AO926" t="str">
        <f t="shared" si="15"/>
        <v/>
      </c>
    </row>
    <row r="927" spans="1:41" x14ac:dyDescent="0.2">
      <c r="A927" s="44" t="str">
        <f>IF(COUNTA(B927)&gt;0,919,"")</f>
        <v/>
      </c>
      <c r="G927" s="25" t="str">
        <f t="shared" si="0"/>
        <v/>
      </c>
      <c r="N927" s="44" t="str">
        <f>IF(COUNTA(B927)&gt;0,C5,"")</f>
        <v/>
      </c>
      <c r="AO927" t="str">
        <f t="shared" si="15"/>
        <v/>
      </c>
    </row>
    <row r="928" spans="1:41" x14ac:dyDescent="0.2">
      <c r="A928" s="44" t="str">
        <f>IF(COUNTA(B928)&gt;0,920,"")</f>
        <v/>
      </c>
      <c r="G928" s="25" t="str">
        <f t="shared" si="0"/>
        <v/>
      </c>
      <c r="N928" s="44" t="str">
        <f>IF(COUNTA(B928)&gt;0,C5,"")</f>
        <v/>
      </c>
      <c r="AO928" t="str">
        <f t="shared" si="15"/>
        <v/>
      </c>
    </row>
    <row r="929" spans="1:41" x14ac:dyDescent="0.2">
      <c r="A929" s="44" t="str">
        <f>IF(COUNTA(B929)&gt;0,921,"")</f>
        <v/>
      </c>
      <c r="G929" s="25" t="str">
        <f t="shared" si="0"/>
        <v/>
      </c>
      <c r="N929" s="44" t="str">
        <f>IF(COUNTA(B929)&gt;0,C5,"")</f>
        <v/>
      </c>
      <c r="AO929" t="str">
        <f t="shared" si="15"/>
        <v/>
      </c>
    </row>
    <row r="930" spans="1:41" x14ac:dyDescent="0.2">
      <c r="A930" s="44" t="str">
        <f>IF(COUNTA(B930)&gt;0,922,"")</f>
        <v/>
      </c>
      <c r="G930" s="25" t="str">
        <f t="shared" si="0"/>
        <v/>
      </c>
      <c r="N930" s="44" t="str">
        <f>IF(COUNTA(B930)&gt;0,C5,"")</f>
        <v/>
      </c>
      <c r="AO930" t="str">
        <f t="shared" si="15"/>
        <v/>
      </c>
    </row>
    <row r="931" spans="1:41" x14ac:dyDescent="0.2">
      <c r="A931" s="44" t="str">
        <f>IF(COUNTA(B931)&gt;0,923,"")</f>
        <v/>
      </c>
      <c r="G931" s="25" t="str">
        <f t="shared" si="0"/>
        <v/>
      </c>
      <c r="N931" s="44" t="str">
        <f>IF(COUNTA(B931)&gt;0,C5,"")</f>
        <v/>
      </c>
      <c r="AO931" t="str">
        <f t="shared" si="15"/>
        <v/>
      </c>
    </row>
    <row r="932" spans="1:41" x14ac:dyDescent="0.2">
      <c r="A932" s="44" t="str">
        <f>IF(COUNTA(B932)&gt;0,924,"")</f>
        <v/>
      </c>
      <c r="G932" s="25" t="str">
        <f t="shared" si="0"/>
        <v/>
      </c>
      <c r="N932" s="44" t="str">
        <f>IF(COUNTA(B932)&gt;0,C5,"")</f>
        <v/>
      </c>
      <c r="AO932" t="str">
        <f t="shared" si="15"/>
        <v/>
      </c>
    </row>
    <row r="933" spans="1:41" x14ac:dyDescent="0.2">
      <c r="A933" s="44" t="str">
        <f>IF(COUNTA(B933)&gt;0,925,"")</f>
        <v/>
      </c>
      <c r="G933" s="25" t="str">
        <f t="shared" si="0"/>
        <v/>
      </c>
      <c r="N933" s="44" t="str">
        <f>IF(COUNTA(B933)&gt;0,C5,"")</f>
        <v/>
      </c>
      <c r="AO933" t="str">
        <f t="shared" si="15"/>
        <v/>
      </c>
    </row>
    <row r="934" spans="1:41" x14ac:dyDescent="0.2">
      <c r="A934" s="44" t="str">
        <f>IF(COUNTA(B934)&gt;0,926,"")</f>
        <v/>
      </c>
      <c r="G934" s="25" t="str">
        <f t="shared" si="0"/>
        <v/>
      </c>
      <c r="N934" s="44" t="str">
        <f>IF(COUNTA(B934)&gt;0,C5,"")</f>
        <v/>
      </c>
      <c r="AO934" t="str">
        <f t="shared" si="15"/>
        <v/>
      </c>
    </row>
    <row r="935" spans="1:41" x14ac:dyDescent="0.2">
      <c r="A935" s="44" t="str">
        <f>IF(COUNTA(B935)&gt;0,927,"")</f>
        <v/>
      </c>
      <c r="G935" s="25" t="str">
        <f t="shared" si="0"/>
        <v/>
      </c>
      <c r="N935" s="44" t="str">
        <f>IF(COUNTA(B935)&gt;0,C5,"")</f>
        <v/>
      </c>
      <c r="AO935" t="str">
        <f t="shared" si="15"/>
        <v/>
      </c>
    </row>
    <row r="936" spans="1:41" x14ac:dyDescent="0.2">
      <c r="A936" s="44" t="str">
        <f>IF(COUNTA(B936)&gt;0,928,"")</f>
        <v/>
      </c>
      <c r="G936" s="25" t="str">
        <f t="shared" si="0"/>
        <v/>
      </c>
      <c r="N936" s="44" t="str">
        <f>IF(COUNTA(B936)&gt;0,C5,"")</f>
        <v/>
      </c>
      <c r="AO936" t="str">
        <f t="shared" si="15"/>
        <v/>
      </c>
    </row>
    <row r="937" spans="1:41" x14ac:dyDescent="0.2">
      <c r="A937" s="44" t="str">
        <f>IF(COUNTA(B937)&gt;0,929,"")</f>
        <v/>
      </c>
      <c r="G937" s="25" t="str">
        <f t="shared" si="0"/>
        <v/>
      </c>
      <c r="N937" s="44" t="str">
        <f>IF(COUNTA(B937)&gt;0,C5,"")</f>
        <v/>
      </c>
      <c r="AO937" t="str">
        <f t="shared" si="15"/>
        <v/>
      </c>
    </row>
    <row r="938" spans="1:41" x14ac:dyDescent="0.2">
      <c r="A938" s="44" t="str">
        <f>IF(COUNTA(B938)&gt;0,930,"")</f>
        <v/>
      </c>
      <c r="G938" s="25" t="str">
        <f t="shared" si="0"/>
        <v/>
      </c>
      <c r="N938" s="44" t="str">
        <f>IF(COUNTA(B938)&gt;0,C5,"")</f>
        <v/>
      </c>
      <c r="AO938" t="str">
        <f t="shared" si="15"/>
        <v/>
      </c>
    </row>
    <row r="939" spans="1:41" x14ac:dyDescent="0.2">
      <c r="A939" s="44" t="str">
        <f>IF(COUNTA(B939)&gt;0,931,"")</f>
        <v/>
      </c>
      <c r="G939" s="25" t="str">
        <f t="shared" si="0"/>
        <v/>
      </c>
      <c r="N939" s="44" t="str">
        <f>IF(COUNTA(B939)&gt;0,C5,"")</f>
        <v/>
      </c>
      <c r="AO939" t="str">
        <f t="shared" si="15"/>
        <v/>
      </c>
    </row>
    <row r="940" spans="1:41" x14ac:dyDescent="0.2">
      <c r="A940" s="44" t="str">
        <f>IF(COUNTA(B940)&gt;0,932,"")</f>
        <v/>
      </c>
      <c r="G940" s="25" t="str">
        <f t="shared" si="0"/>
        <v/>
      </c>
      <c r="N940" s="44" t="str">
        <f>IF(COUNTA(B940)&gt;0,C5,"")</f>
        <v/>
      </c>
      <c r="AO940" t="str">
        <f t="shared" si="15"/>
        <v/>
      </c>
    </row>
    <row r="941" spans="1:41" x14ac:dyDescent="0.2">
      <c r="A941" s="44" t="str">
        <f>IF(COUNTA(B941)&gt;0,933,"")</f>
        <v/>
      </c>
      <c r="G941" s="25" t="str">
        <f t="shared" si="0"/>
        <v/>
      </c>
      <c r="N941" s="44" t="str">
        <f>IF(COUNTA(B941)&gt;0,C5,"")</f>
        <v/>
      </c>
      <c r="AO941" t="str">
        <f t="shared" si="15"/>
        <v/>
      </c>
    </row>
    <row r="942" spans="1:41" x14ac:dyDescent="0.2">
      <c r="A942" s="44" t="str">
        <f>IF(COUNTA(B942)&gt;0,934,"")</f>
        <v/>
      </c>
      <c r="G942" s="25" t="str">
        <f t="shared" si="0"/>
        <v/>
      </c>
      <c r="N942" s="44" t="str">
        <f>IF(COUNTA(B942)&gt;0,C5,"")</f>
        <v/>
      </c>
      <c r="AO942" t="str">
        <f t="shared" si="15"/>
        <v/>
      </c>
    </row>
    <row r="943" spans="1:41" x14ac:dyDescent="0.2">
      <c r="A943" s="44" t="str">
        <f>IF(COUNTA(B943)&gt;0,935,"")</f>
        <v/>
      </c>
      <c r="G943" s="25" t="str">
        <f t="shared" si="0"/>
        <v/>
      </c>
      <c r="N943" s="44" t="str">
        <f>IF(COUNTA(B943)&gt;0,C5,"")</f>
        <v/>
      </c>
      <c r="AO943" t="str">
        <f t="shared" si="15"/>
        <v/>
      </c>
    </row>
    <row r="944" spans="1:41" x14ac:dyDescent="0.2">
      <c r="A944" s="44" t="str">
        <f>IF(COUNTA(B944)&gt;0,936,"")</f>
        <v/>
      </c>
      <c r="G944" s="25" t="str">
        <f t="shared" si="0"/>
        <v/>
      </c>
      <c r="N944" s="44" t="str">
        <f>IF(COUNTA(B944)&gt;0,C5,"")</f>
        <v/>
      </c>
      <c r="AO944" t="str">
        <f t="shared" si="15"/>
        <v/>
      </c>
    </row>
    <row r="945" spans="1:41" x14ac:dyDescent="0.2">
      <c r="A945" s="44" t="str">
        <f>IF(COUNTA(B945)&gt;0,937,"")</f>
        <v/>
      </c>
      <c r="G945" s="25" t="str">
        <f t="shared" si="0"/>
        <v/>
      </c>
      <c r="N945" s="44" t="str">
        <f>IF(COUNTA(B945)&gt;0,C5,"")</f>
        <v/>
      </c>
      <c r="AO945" t="str">
        <f t="shared" si="15"/>
        <v/>
      </c>
    </row>
    <row r="946" spans="1:41" x14ac:dyDescent="0.2">
      <c r="A946" s="44" t="str">
        <f>IF(COUNTA(B946)&gt;0,938,"")</f>
        <v/>
      </c>
      <c r="G946" s="25" t="str">
        <f t="shared" si="0"/>
        <v/>
      </c>
      <c r="N946" s="44" t="str">
        <f>IF(COUNTA(B946)&gt;0,C5,"")</f>
        <v/>
      </c>
      <c r="AO946" t="str">
        <f t="shared" si="15"/>
        <v/>
      </c>
    </row>
    <row r="947" spans="1:41" x14ac:dyDescent="0.2">
      <c r="A947" s="44" t="str">
        <f>IF(COUNTA(B947)&gt;0,939,"")</f>
        <v/>
      </c>
      <c r="G947" s="25" t="str">
        <f t="shared" si="0"/>
        <v/>
      </c>
      <c r="N947" s="44" t="str">
        <f>IF(COUNTA(B947)&gt;0,C5,"")</f>
        <v/>
      </c>
      <c r="AO947" t="str">
        <f t="shared" si="15"/>
        <v/>
      </c>
    </row>
    <row r="948" spans="1:41" x14ac:dyDescent="0.2">
      <c r="A948" s="44" t="str">
        <f>IF(COUNTA(B948)&gt;0,940,"")</f>
        <v/>
      </c>
      <c r="G948" s="25" t="str">
        <f t="shared" si="0"/>
        <v/>
      </c>
      <c r="N948" s="44" t="str">
        <f>IF(COUNTA(B948)&gt;0,C5,"")</f>
        <v/>
      </c>
      <c r="AO948" t="str">
        <f t="shared" si="15"/>
        <v/>
      </c>
    </row>
    <row r="949" spans="1:41" x14ac:dyDescent="0.2">
      <c r="A949" s="44" t="str">
        <f>IF(COUNTA(B949)&gt;0,941,"")</f>
        <v/>
      </c>
      <c r="G949" s="25" t="str">
        <f t="shared" si="0"/>
        <v/>
      </c>
      <c r="N949" s="44" t="str">
        <f>IF(COUNTA(B949)&gt;0,C5,"")</f>
        <v/>
      </c>
      <c r="AO949" t="str">
        <f t="shared" si="15"/>
        <v/>
      </c>
    </row>
    <row r="950" spans="1:41" x14ac:dyDescent="0.2">
      <c r="A950" s="44" t="str">
        <f>IF(COUNTA(B950)&gt;0,942,"")</f>
        <v/>
      </c>
      <c r="G950" s="25" t="str">
        <f t="shared" si="0"/>
        <v/>
      </c>
      <c r="N950" s="44" t="str">
        <f>IF(COUNTA(B950)&gt;0,C5,"")</f>
        <v/>
      </c>
      <c r="AO950" t="str">
        <f t="shared" si="15"/>
        <v/>
      </c>
    </row>
    <row r="951" spans="1:41" x14ac:dyDescent="0.2">
      <c r="A951" s="44" t="str">
        <f>IF(COUNTA(B951)&gt;0,943,"")</f>
        <v/>
      </c>
      <c r="G951" s="25" t="str">
        <f t="shared" si="0"/>
        <v/>
      </c>
      <c r="N951" s="44" t="str">
        <f>IF(COUNTA(B951)&gt;0,C5,"")</f>
        <v/>
      </c>
      <c r="AO951" t="str">
        <f t="shared" si="15"/>
        <v/>
      </c>
    </row>
    <row r="952" spans="1:41" x14ac:dyDescent="0.2">
      <c r="A952" s="44" t="str">
        <f>IF(COUNTA(B952)&gt;0,944,"")</f>
        <v/>
      </c>
      <c r="G952" s="25" t="str">
        <f t="shared" si="0"/>
        <v/>
      </c>
      <c r="N952" s="44" t="str">
        <f>IF(COUNTA(B952)&gt;0,C5,"")</f>
        <v/>
      </c>
      <c r="AO952" t="str">
        <f t="shared" si="15"/>
        <v/>
      </c>
    </row>
    <row r="953" spans="1:41" x14ac:dyDescent="0.2">
      <c r="A953" s="44" t="str">
        <f>IF(COUNTA(B953)&gt;0,945,"")</f>
        <v/>
      </c>
      <c r="G953" s="25" t="str">
        <f t="shared" si="0"/>
        <v/>
      </c>
      <c r="N953" s="44" t="str">
        <f>IF(COUNTA(B953)&gt;0,C5,"")</f>
        <v/>
      </c>
      <c r="AO953" t="str">
        <f t="shared" si="15"/>
        <v/>
      </c>
    </row>
    <row r="954" spans="1:41" x14ac:dyDescent="0.2">
      <c r="A954" s="44" t="str">
        <f>IF(COUNTA(B954)&gt;0,946,"")</f>
        <v/>
      </c>
      <c r="G954" s="25" t="str">
        <f t="shared" si="0"/>
        <v/>
      </c>
      <c r="N954" s="44" t="str">
        <f>IF(COUNTA(B954)&gt;0,C5,"")</f>
        <v/>
      </c>
      <c r="AO954" t="str">
        <f t="shared" si="15"/>
        <v/>
      </c>
    </row>
    <row r="955" spans="1:41" x14ac:dyDescent="0.2">
      <c r="A955" s="44" t="str">
        <f>IF(COUNTA(B955)&gt;0,947,"")</f>
        <v/>
      </c>
      <c r="G955" s="25" t="str">
        <f t="shared" si="0"/>
        <v/>
      </c>
      <c r="N955" s="44" t="str">
        <f>IF(COUNTA(B955)&gt;0,C5,"")</f>
        <v/>
      </c>
      <c r="AO955" t="str">
        <f t="shared" si="15"/>
        <v/>
      </c>
    </row>
    <row r="956" spans="1:41" x14ac:dyDescent="0.2">
      <c r="A956" s="44" t="str">
        <f>IF(COUNTA(B956)&gt;0,948,"")</f>
        <v/>
      </c>
      <c r="G956" s="25" t="str">
        <f t="shared" si="0"/>
        <v/>
      </c>
      <c r="N956" s="44" t="str">
        <f>IF(COUNTA(B956)&gt;0,C5,"")</f>
        <v/>
      </c>
      <c r="AO956" t="str">
        <f t="shared" si="15"/>
        <v/>
      </c>
    </row>
    <row r="957" spans="1:41" x14ac:dyDescent="0.2">
      <c r="A957" s="44" t="str">
        <f>IF(COUNTA(B957)&gt;0,949,"")</f>
        <v/>
      </c>
      <c r="G957" s="25" t="str">
        <f t="shared" si="0"/>
        <v/>
      </c>
      <c r="N957" s="44" t="str">
        <f>IF(COUNTA(B957)&gt;0,C5,"")</f>
        <v/>
      </c>
      <c r="AO957" t="str">
        <f t="shared" si="15"/>
        <v/>
      </c>
    </row>
    <row r="958" spans="1:41" x14ac:dyDescent="0.2">
      <c r="A958" s="44" t="str">
        <f>IF(COUNTA(B958)&gt;0,950,"")</f>
        <v/>
      </c>
      <c r="G958" s="25" t="str">
        <f t="shared" si="0"/>
        <v/>
      </c>
      <c r="N958" s="44" t="str">
        <f>IF(COUNTA(B958)&gt;0,C5,"")</f>
        <v/>
      </c>
      <c r="AO958" t="str">
        <f t="shared" si="15"/>
        <v/>
      </c>
    </row>
    <row r="959" spans="1:41" x14ac:dyDescent="0.2">
      <c r="A959" s="44" t="str">
        <f>IF(COUNTA(B959)&gt;0,951,"")</f>
        <v/>
      </c>
      <c r="G959" s="25" t="str">
        <f t="shared" si="0"/>
        <v/>
      </c>
      <c r="N959" s="44" t="str">
        <f>IF(COUNTA(B959)&gt;0,C5,"")</f>
        <v/>
      </c>
      <c r="AO959" t="str">
        <f t="shared" si="15"/>
        <v/>
      </c>
    </row>
    <row r="960" spans="1:41" x14ac:dyDescent="0.2">
      <c r="A960" s="44" t="str">
        <f>IF(COUNTA(B960)&gt;0,952,"")</f>
        <v/>
      </c>
      <c r="G960" s="25" t="str">
        <f t="shared" si="0"/>
        <v/>
      </c>
      <c r="N960" s="44" t="str">
        <f>IF(COUNTA(B960)&gt;0,C5,"")</f>
        <v/>
      </c>
      <c r="AO960" t="str">
        <f t="shared" si="15"/>
        <v/>
      </c>
    </row>
    <row r="961" spans="1:41" x14ac:dyDescent="0.2">
      <c r="A961" s="44" t="str">
        <f>IF(COUNTA(B961)&gt;0,953,"")</f>
        <v/>
      </c>
      <c r="G961" s="25" t="str">
        <f t="shared" si="0"/>
        <v/>
      </c>
      <c r="N961" s="44" t="str">
        <f>IF(COUNTA(B961)&gt;0,C5,"")</f>
        <v/>
      </c>
      <c r="AO961" t="str">
        <f t="shared" si="15"/>
        <v/>
      </c>
    </row>
    <row r="962" spans="1:41" x14ac:dyDescent="0.2">
      <c r="A962" s="44" t="str">
        <f>IF(COUNTA(B962)&gt;0,954,"")</f>
        <v/>
      </c>
      <c r="G962" s="25" t="str">
        <f t="shared" si="0"/>
        <v/>
      </c>
      <c r="N962" s="44" t="str">
        <f>IF(COUNTA(B962)&gt;0,C5,"")</f>
        <v/>
      </c>
      <c r="AO962" t="str">
        <f t="shared" si="15"/>
        <v/>
      </c>
    </row>
    <row r="963" spans="1:41" x14ac:dyDescent="0.2">
      <c r="A963" s="44" t="str">
        <f>IF(COUNTA(B963)&gt;0,955,"")</f>
        <v/>
      </c>
      <c r="G963" s="25" t="str">
        <f t="shared" si="0"/>
        <v/>
      </c>
      <c r="N963" s="44" t="str">
        <f>IF(COUNTA(B963)&gt;0,C5,"")</f>
        <v/>
      </c>
      <c r="AO963" t="str">
        <f t="shared" si="15"/>
        <v/>
      </c>
    </row>
    <row r="964" spans="1:41" x14ac:dyDescent="0.2">
      <c r="A964" s="44" t="str">
        <f>IF(COUNTA(B964)&gt;0,956,"")</f>
        <v/>
      </c>
      <c r="G964" s="25" t="str">
        <f t="shared" si="0"/>
        <v/>
      </c>
      <c r="N964" s="44" t="str">
        <f>IF(COUNTA(B964)&gt;0,C5,"")</f>
        <v/>
      </c>
      <c r="AO964" t="str">
        <f t="shared" si="15"/>
        <v/>
      </c>
    </row>
    <row r="965" spans="1:41" x14ac:dyDescent="0.2">
      <c r="A965" s="44" t="str">
        <f>IF(COUNTA(B965)&gt;0,957,"")</f>
        <v/>
      </c>
      <c r="G965" s="25" t="str">
        <f t="shared" si="0"/>
        <v/>
      </c>
      <c r="N965" s="44" t="str">
        <f>IF(COUNTA(B965)&gt;0,C5,"")</f>
        <v/>
      </c>
      <c r="AO965" t="str">
        <f t="shared" si="15"/>
        <v/>
      </c>
    </row>
    <row r="966" spans="1:41" x14ac:dyDescent="0.2">
      <c r="A966" s="44" t="str">
        <f>IF(COUNTA(B966)&gt;0,958,"")</f>
        <v/>
      </c>
      <c r="G966" s="25" t="str">
        <f t="shared" si="0"/>
        <v/>
      </c>
      <c r="N966" s="44" t="str">
        <f>IF(COUNTA(B966)&gt;0,C5,"")</f>
        <v/>
      </c>
      <c r="AO966" t="str">
        <f t="shared" si="15"/>
        <v/>
      </c>
    </row>
    <row r="967" spans="1:41" x14ac:dyDescent="0.2">
      <c r="A967" s="44" t="str">
        <f>IF(COUNTA(B967)&gt;0,959,"")</f>
        <v/>
      </c>
      <c r="G967" s="25" t="str">
        <f t="shared" si="0"/>
        <v/>
      </c>
      <c r="N967" s="44" t="str">
        <f>IF(COUNTA(B967)&gt;0,C5,"")</f>
        <v/>
      </c>
      <c r="AO967" t="str">
        <f t="shared" si="15"/>
        <v/>
      </c>
    </row>
    <row r="968" spans="1:41" x14ac:dyDescent="0.2">
      <c r="A968" s="44" t="str">
        <f>IF(COUNTA(B968)&gt;0,960,"")</f>
        <v/>
      </c>
      <c r="G968" s="25" t="str">
        <f t="shared" si="0"/>
        <v/>
      </c>
      <c r="N968" s="44" t="str">
        <f>IF(COUNTA(B968)&gt;0,C5,"")</f>
        <v/>
      </c>
      <c r="AO968" t="str">
        <f t="shared" si="15"/>
        <v/>
      </c>
    </row>
    <row r="969" spans="1:41" x14ac:dyDescent="0.2">
      <c r="A969" s="44" t="str">
        <f>IF(COUNTA(B969)&gt;0,961,"")</f>
        <v/>
      </c>
      <c r="G969" s="25" t="str">
        <f t="shared" si="0"/>
        <v/>
      </c>
      <c r="N969" s="44" t="str">
        <f>IF(COUNTA(B969)&gt;0,C5,"")</f>
        <v/>
      </c>
      <c r="AO969" t="str">
        <f t="shared" ref="AO969:AO1032" si="16">IF(COUNTA(L969:M969)&lt;&gt;0,"Có",IF(COUNTA(B969)&gt;0,"Không",""))</f>
        <v/>
      </c>
    </row>
    <row r="970" spans="1:41" x14ac:dyDescent="0.2">
      <c r="A970" s="44" t="str">
        <f>IF(COUNTA(B970)&gt;0,962,"")</f>
        <v/>
      </c>
      <c r="G970" s="25" t="str">
        <f t="shared" si="0"/>
        <v/>
      </c>
      <c r="N970" s="44" t="str">
        <f>IF(COUNTA(B970)&gt;0,C5,"")</f>
        <v/>
      </c>
      <c r="AO970" t="str">
        <f t="shared" si="16"/>
        <v/>
      </c>
    </row>
    <row r="971" spans="1:41" x14ac:dyDescent="0.2">
      <c r="A971" s="44" t="str">
        <f>IF(COUNTA(B971)&gt;0,963,"")</f>
        <v/>
      </c>
      <c r="G971" s="25" t="str">
        <f t="shared" si="0"/>
        <v/>
      </c>
      <c r="N971" s="44" t="str">
        <f>IF(COUNTA(B971)&gt;0,C5,"")</f>
        <v/>
      </c>
      <c r="AO971" t="str">
        <f t="shared" si="16"/>
        <v/>
      </c>
    </row>
    <row r="972" spans="1:41" x14ac:dyDescent="0.2">
      <c r="A972" s="44" t="str">
        <f>IF(COUNTA(B972)&gt;0,964,"")</f>
        <v/>
      </c>
      <c r="G972" s="25" t="str">
        <f t="shared" si="0"/>
        <v/>
      </c>
      <c r="N972" s="44" t="str">
        <f>IF(COUNTA(B972)&gt;0,C5,"")</f>
        <v/>
      </c>
      <c r="AO972" t="str">
        <f t="shared" si="16"/>
        <v/>
      </c>
    </row>
    <row r="973" spans="1:41" x14ac:dyDescent="0.2">
      <c r="A973" s="44" t="str">
        <f>IF(COUNTA(B973)&gt;0,965,"")</f>
        <v/>
      </c>
      <c r="G973" s="25" t="str">
        <f t="shared" si="0"/>
        <v/>
      </c>
      <c r="N973" s="44" t="str">
        <f>IF(COUNTA(B973)&gt;0,C5,"")</f>
        <v/>
      </c>
      <c r="AO973" t="str">
        <f t="shared" si="16"/>
        <v/>
      </c>
    </row>
    <row r="974" spans="1:41" x14ac:dyDescent="0.2">
      <c r="A974" s="44" t="str">
        <f>IF(COUNTA(B974)&gt;0,966,"")</f>
        <v/>
      </c>
      <c r="G974" s="25" t="str">
        <f t="shared" si="0"/>
        <v/>
      </c>
      <c r="N974" s="44" t="str">
        <f>IF(COUNTA(B974)&gt;0,C5,"")</f>
        <v/>
      </c>
      <c r="AO974" t="str">
        <f t="shared" si="16"/>
        <v/>
      </c>
    </row>
    <row r="975" spans="1:41" x14ac:dyDescent="0.2">
      <c r="A975" s="44" t="str">
        <f>IF(COUNTA(B975)&gt;0,967,"")</f>
        <v/>
      </c>
      <c r="G975" s="25" t="str">
        <f t="shared" si="0"/>
        <v/>
      </c>
      <c r="N975" s="44" t="str">
        <f>IF(COUNTA(B975)&gt;0,C5,"")</f>
        <v/>
      </c>
      <c r="AO975" t="str">
        <f t="shared" si="16"/>
        <v/>
      </c>
    </row>
    <row r="976" spans="1:41" x14ac:dyDescent="0.2">
      <c r="A976" s="44" t="str">
        <f>IF(COUNTA(B976)&gt;0,968,"")</f>
        <v/>
      </c>
      <c r="G976" s="25" t="str">
        <f t="shared" si="0"/>
        <v/>
      </c>
      <c r="N976" s="44" t="str">
        <f>IF(COUNTA(B976)&gt;0,C5,"")</f>
        <v/>
      </c>
      <c r="AO976" t="str">
        <f t="shared" si="16"/>
        <v/>
      </c>
    </row>
    <row r="977" spans="1:41" x14ac:dyDescent="0.2">
      <c r="A977" s="44" t="str">
        <f>IF(COUNTA(B977)&gt;0,969,"")</f>
        <v/>
      </c>
      <c r="G977" s="25" t="str">
        <f t="shared" si="0"/>
        <v/>
      </c>
      <c r="N977" s="44" t="str">
        <f>IF(COUNTA(B977)&gt;0,C5,"")</f>
        <v/>
      </c>
      <c r="AO977" t="str">
        <f t="shared" si="16"/>
        <v/>
      </c>
    </row>
    <row r="978" spans="1:41" x14ac:dyDescent="0.2">
      <c r="A978" s="44" t="str">
        <f>IF(COUNTA(B978)&gt;0,970,"")</f>
        <v/>
      </c>
      <c r="G978" s="25" t="str">
        <f t="shared" si="0"/>
        <v/>
      </c>
      <c r="N978" s="44" t="str">
        <f>IF(COUNTA(B978)&gt;0,C5,"")</f>
        <v/>
      </c>
      <c r="AO978" t="str">
        <f t="shared" si="16"/>
        <v/>
      </c>
    </row>
    <row r="979" spans="1:41" x14ac:dyDescent="0.2">
      <c r="A979" s="44" t="str">
        <f>IF(COUNTA(B979)&gt;0,971,"")</f>
        <v/>
      </c>
      <c r="G979" s="25" t="str">
        <f t="shared" si="0"/>
        <v/>
      </c>
      <c r="N979" s="44" t="str">
        <f>IF(COUNTA(B979)&gt;0,C5,"")</f>
        <v/>
      </c>
      <c r="AO979" t="str">
        <f t="shared" si="16"/>
        <v/>
      </c>
    </row>
    <row r="980" spans="1:41" x14ac:dyDescent="0.2">
      <c r="A980" s="44" t="str">
        <f>IF(COUNTA(B980)&gt;0,972,"")</f>
        <v/>
      </c>
      <c r="G980" s="25" t="str">
        <f t="shared" si="0"/>
        <v/>
      </c>
      <c r="N980" s="44" t="str">
        <f>IF(COUNTA(B980)&gt;0,C5,"")</f>
        <v/>
      </c>
      <c r="AO980" t="str">
        <f t="shared" si="16"/>
        <v/>
      </c>
    </row>
    <row r="981" spans="1:41" x14ac:dyDescent="0.2">
      <c r="A981" s="44" t="str">
        <f>IF(COUNTA(B981)&gt;0,973,"")</f>
        <v/>
      </c>
      <c r="G981" s="25" t="str">
        <f t="shared" si="0"/>
        <v/>
      </c>
      <c r="N981" s="44" t="str">
        <f>IF(COUNTA(B981)&gt;0,C5,"")</f>
        <v/>
      </c>
      <c r="AO981" t="str">
        <f t="shared" si="16"/>
        <v/>
      </c>
    </row>
    <row r="982" spans="1:41" x14ac:dyDescent="0.2">
      <c r="A982" s="44" t="str">
        <f>IF(COUNTA(B982)&gt;0,974,"")</f>
        <v/>
      </c>
      <c r="G982" s="25" t="str">
        <f t="shared" si="0"/>
        <v/>
      </c>
      <c r="N982" s="44" t="str">
        <f>IF(COUNTA(B982)&gt;0,C5,"")</f>
        <v/>
      </c>
      <c r="AO982" t="str">
        <f t="shared" si="16"/>
        <v/>
      </c>
    </row>
    <row r="983" spans="1:41" x14ac:dyDescent="0.2">
      <c r="A983" s="44" t="str">
        <f>IF(COUNTA(B983)&gt;0,975,"")</f>
        <v/>
      </c>
      <c r="G983" s="25" t="str">
        <f t="shared" si="0"/>
        <v/>
      </c>
      <c r="N983" s="44" t="str">
        <f>IF(COUNTA(B983)&gt;0,C5,"")</f>
        <v/>
      </c>
      <c r="AO983" t="str">
        <f t="shared" si="16"/>
        <v/>
      </c>
    </row>
    <row r="984" spans="1:41" x14ac:dyDescent="0.2">
      <c r="A984" s="44" t="str">
        <f>IF(COUNTA(B984)&gt;0,976,"")</f>
        <v/>
      </c>
      <c r="G984" s="25" t="str">
        <f t="shared" si="0"/>
        <v/>
      </c>
      <c r="N984" s="44" t="str">
        <f>IF(COUNTA(B984)&gt;0,C5,"")</f>
        <v/>
      </c>
      <c r="AO984" t="str">
        <f t="shared" si="16"/>
        <v/>
      </c>
    </row>
    <row r="985" spans="1:41" x14ac:dyDescent="0.2">
      <c r="A985" s="44" t="str">
        <f>IF(COUNTA(B985)&gt;0,977,"")</f>
        <v/>
      </c>
      <c r="G985" s="25" t="str">
        <f t="shared" si="0"/>
        <v/>
      </c>
      <c r="N985" s="44" t="str">
        <f>IF(COUNTA(B985)&gt;0,C5,"")</f>
        <v/>
      </c>
      <c r="AO985" t="str">
        <f t="shared" si="16"/>
        <v/>
      </c>
    </row>
    <row r="986" spans="1:41" x14ac:dyDescent="0.2">
      <c r="A986" s="44" t="str">
        <f>IF(COUNTA(B986)&gt;0,978,"")</f>
        <v/>
      </c>
      <c r="G986" s="25" t="str">
        <f t="shared" si="0"/>
        <v/>
      </c>
      <c r="N986" s="44" t="str">
        <f>IF(COUNTA(B986)&gt;0,C5,"")</f>
        <v/>
      </c>
      <c r="AO986" t="str">
        <f t="shared" si="16"/>
        <v/>
      </c>
    </row>
    <row r="987" spans="1:41" x14ac:dyDescent="0.2">
      <c r="A987" s="44" t="str">
        <f>IF(COUNTA(B987)&gt;0,979,"")</f>
        <v/>
      </c>
      <c r="G987" s="25" t="str">
        <f t="shared" si="0"/>
        <v/>
      </c>
      <c r="N987" s="44" t="str">
        <f>IF(COUNTA(B987)&gt;0,C5,"")</f>
        <v/>
      </c>
      <c r="AO987" t="str">
        <f t="shared" si="16"/>
        <v/>
      </c>
    </row>
    <row r="988" spans="1:41" x14ac:dyDescent="0.2">
      <c r="A988" s="44" t="str">
        <f>IF(COUNTA(B988)&gt;0,980,"")</f>
        <v/>
      </c>
      <c r="G988" s="25" t="str">
        <f t="shared" si="0"/>
        <v/>
      </c>
      <c r="N988" s="44" t="str">
        <f>IF(COUNTA(B988)&gt;0,C5,"")</f>
        <v/>
      </c>
      <c r="AO988" t="str">
        <f t="shared" si="16"/>
        <v/>
      </c>
    </row>
    <row r="989" spans="1:41" x14ac:dyDescent="0.2">
      <c r="A989" s="44" t="str">
        <f>IF(COUNTA(B989)&gt;0,981,"")</f>
        <v/>
      </c>
      <c r="G989" s="25" t="str">
        <f t="shared" si="0"/>
        <v/>
      </c>
      <c r="N989" s="44" t="str">
        <f>IF(COUNTA(B989)&gt;0,C5,"")</f>
        <v/>
      </c>
      <c r="AO989" t="str">
        <f t="shared" si="16"/>
        <v/>
      </c>
    </row>
    <row r="990" spans="1:41" x14ac:dyDescent="0.2">
      <c r="A990" s="44" t="str">
        <f>IF(COUNTA(B990)&gt;0,982,"")</f>
        <v/>
      </c>
      <c r="G990" s="25" t="str">
        <f t="shared" si="0"/>
        <v/>
      </c>
      <c r="N990" s="44" t="str">
        <f>IF(COUNTA(B990)&gt;0,C5,"")</f>
        <v/>
      </c>
      <c r="AO990" t="str">
        <f t="shared" si="16"/>
        <v/>
      </c>
    </row>
    <row r="991" spans="1:41" x14ac:dyDescent="0.2">
      <c r="A991" s="44" t="str">
        <f>IF(COUNTA(B991)&gt;0,983,"")</f>
        <v/>
      </c>
      <c r="G991" s="25" t="str">
        <f t="shared" si="0"/>
        <v/>
      </c>
      <c r="N991" s="44" t="str">
        <f>IF(COUNTA(B991)&gt;0,C5,"")</f>
        <v/>
      </c>
      <c r="AO991" t="str">
        <f t="shared" si="16"/>
        <v/>
      </c>
    </row>
    <row r="992" spans="1:41" x14ac:dyDescent="0.2">
      <c r="A992" s="44" t="str">
        <f>IF(COUNTA(B992)&gt;0,984,"")</f>
        <v/>
      </c>
      <c r="G992" s="25" t="str">
        <f t="shared" si="0"/>
        <v/>
      </c>
      <c r="N992" s="44" t="str">
        <f>IF(COUNTA(B992)&gt;0,C5,"")</f>
        <v/>
      </c>
      <c r="AO992" t="str">
        <f t="shared" si="16"/>
        <v/>
      </c>
    </row>
    <row r="993" spans="1:41" x14ac:dyDescent="0.2">
      <c r="A993" s="44" t="str">
        <f>IF(COUNTA(B993)&gt;0,985,"")</f>
        <v/>
      </c>
      <c r="G993" s="25" t="str">
        <f t="shared" si="0"/>
        <v/>
      </c>
      <c r="N993" s="44" t="str">
        <f>IF(COUNTA(B993)&gt;0,C5,"")</f>
        <v/>
      </c>
      <c r="AO993" t="str">
        <f t="shared" si="16"/>
        <v/>
      </c>
    </row>
    <row r="994" spans="1:41" x14ac:dyDescent="0.2">
      <c r="A994" s="44" t="str">
        <f>IF(COUNTA(B994)&gt;0,986,"")</f>
        <v/>
      </c>
      <c r="G994" s="25" t="str">
        <f t="shared" si="0"/>
        <v/>
      </c>
      <c r="N994" s="44" t="str">
        <f>IF(COUNTA(B994)&gt;0,C5,"")</f>
        <v/>
      </c>
      <c r="AO994" t="str">
        <f t="shared" si="16"/>
        <v/>
      </c>
    </row>
    <row r="995" spans="1:41" x14ac:dyDescent="0.2">
      <c r="A995" s="44" t="str">
        <f>IF(COUNTA(B995)&gt;0,987,"")</f>
        <v/>
      </c>
      <c r="G995" s="25" t="str">
        <f t="shared" si="0"/>
        <v/>
      </c>
      <c r="N995" s="44" t="str">
        <f>IF(COUNTA(B995)&gt;0,C5,"")</f>
        <v/>
      </c>
      <c r="AO995" t="str">
        <f t="shared" si="16"/>
        <v/>
      </c>
    </row>
    <row r="996" spans="1:41" x14ac:dyDescent="0.2">
      <c r="A996" s="44" t="str">
        <f>IF(COUNTA(B996)&gt;0,988,"")</f>
        <v/>
      </c>
      <c r="G996" s="25" t="str">
        <f t="shared" si="0"/>
        <v/>
      </c>
      <c r="N996" s="44" t="str">
        <f>IF(COUNTA(B996)&gt;0,C5,"")</f>
        <v/>
      </c>
      <c r="AO996" t="str">
        <f t="shared" si="16"/>
        <v/>
      </c>
    </row>
    <row r="997" spans="1:41" x14ac:dyDescent="0.2">
      <c r="A997" s="44" t="str">
        <f>IF(COUNTA(B997)&gt;0,989,"")</f>
        <v/>
      </c>
      <c r="G997" s="25" t="str">
        <f t="shared" si="0"/>
        <v/>
      </c>
      <c r="N997" s="44" t="str">
        <f>IF(COUNTA(B997)&gt;0,C5,"")</f>
        <v/>
      </c>
      <c r="AO997" t="str">
        <f t="shared" si="16"/>
        <v/>
      </c>
    </row>
    <row r="998" spans="1:41" x14ac:dyDescent="0.2">
      <c r="A998" s="44" t="str">
        <f>IF(COUNTA(B998)&gt;0,990,"")</f>
        <v/>
      </c>
      <c r="G998" s="25" t="str">
        <f t="shared" si="0"/>
        <v/>
      </c>
      <c r="N998" s="44" t="str">
        <f>IF(COUNTA(B998)&gt;0,C5,"")</f>
        <v/>
      </c>
      <c r="AO998" t="str">
        <f t="shared" si="16"/>
        <v/>
      </c>
    </row>
    <row r="999" spans="1:41" x14ac:dyDescent="0.2">
      <c r="A999" s="44" t="str">
        <f>IF(COUNTA(B999)&gt;0,991,"")</f>
        <v/>
      </c>
      <c r="G999" s="25" t="str">
        <f t="shared" si="0"/>
        <v/>
      </c>
      <c r="N999" s="44" t="str">
        <f>IF(COUNTA(B999)&gt;0,C5,"")</f>
        <v/>
      </c>
      <c r="AO999" t="str">
        <f t="shared" si="16"/>
        <v/>
      </c>
    </row>
    <row r="1000" spans="1:41" x14ac:dyDescent="0.2">
      <c r="A1000" s="44" t="str">
        <f>IF(COUNTA(B1000)&gt;0,992,"")</f>
        <v/>
      </c>
      <c r="G1000" s="25" t="str">
        <f t="shared" si="0"/>
        <v/>
      </c>
      <c r="N1000" s="44" t="str">
        <f>IF(COUNTA(B1000)&gt;0,C5,"")</f>
        <v/>
      </c>
      <c r="AO1000" t="str">
        <f t="shared" si="16"/>
        <v/>
      </c>
    </row>
    <row r="1001" spans="1:41" x14ac:dyDescent="0.2">
      <c r="A1001" s="44" t="str">
        <f>IF(COUNTA(B1001)&gt;0,993,"")</f>
        <v/>
      </c>
      <c r="G1001" s="25" t="str">
        <f t="shared" si="0"/>
        <v/>
      </c>
      <c r="N1001" s="44" t="str">
        <f>IF(COUNTA(B1001)&gt;0,C5,"")</f>
        <v/>
      </c>
      <c r="AO1001" t="str">
        <f t="shared" si="16"/>
        <v/>
      </c>
    </row>
    <row r="1002" spans="1:41" x14ac:dyDescent="0.2">
      <c r="A1002" s="44" t="str">
        <f>IF(COUNTA(B1002)&gt;0,994,"")</f>
        <v/>
      </c>
      <c r="G1002" s="25" t="str">
        <f t="shared" si="0"/>
        <v/>
      </c>
      <c r="N1002" s="44" t="str">
        <f>IF(COUNTA(B1002)&gt;0,C5,"")</f>
        <v/>
      </c>
      <c r="AO1002" t="str">
        <f t="shared" si="16"/>
        <v/>
      </c>
    </row>
    <row r="1003" spans="1:41" x14ac:dyDescent="0.2">
      <c r="A1003" s="44" t="str">
        <f>IF(COUNTA(B1003)&gt;0,995,"")</f>
        <v/>
      </c>
      <c r="G1003" s="25" t="str">
        <f t="shared" si="0"/>
        <v/>
      </c>
      <c r="N1003" s="44" t="str">
        <f>IF(COUNTA(B1003)&gt;0,C5,"")</f>
        <v/>
      </c>
      <c r="AO1003" t="str">
        <f t="shared" si="16"/>
        <v/>
      </c>
    </row>
    <row r="1004" spans="1:41" x14ac:dyDescent="0.2">
      <c r="A1004" s="44" t="str">
        <f>IF(COUNTA(B1004)&gt;0,996,"")</f>
        <v/>
      </c>
      <c r="G1004" s="25" t="str">
        <f t="shared" si="0"/>
        <v/>
      </c>
      <c r="N1004" s="44" t="str">
        <f>IF(COUNTA(B1004)&gt;0,C5,"")</f>
        <v/>
      </c>
      <c r="AO1004" t="str">
        <f t="shared" si="16"/>
        <v/>
      </c>
    </row>
    <row r="1005" spans="1:41" x14ac:dyDescent="0.2">
      <c r="A1005" s="44" t="str">
        <f>IF(COUNTA(B1005)&gt;0,997,"")</f>
        <v/>
      </c>
      <c r="G1005" s="25" t="str">
        <f t="shared" si="0"/>
        <v/>
      </c>
      <c r="N1005" s="44" t="str">
        <f>IF(COUNTA(B1005)&gt;0,C5,"")</f>
        <v/>
      </c>
      <c r="AO1005" t="str">
        <f t="shared" si="16"/>
        <v/>
      </c>
    </row>
    <row r="1006" spans="1:41" x14ac:dyDescent="0.2">
      <c r="A1006" s="44" t="str">
        <f>IF(COUNTA(B1006)&gt;0,998,"")</f>
        <v/>
      </c>
      <c r="G1006" s="25" t="str">
        <f t="shared" si="0"/>
        <v/>
      </c>
      <c r="N1006" s="44" t="str">
        <f>IF(COUNTA(B1006)&gt;0,C5,"")</f>
        <v/>
      </c>
      <c r="AO1006" t="str">
        <f t="shared" si="16"/>
        <v/>
      </c>
    </row>
    <row r="1007" spans="1:41" x14ac:dyDescent="0.2">
      <c r="A1007" s="44" t="str">
        <f>IF(COUNTA(B1007)&gt;0,999,"")</f>
        <v/>
      </c>
      <c r="G1007" s="25" t="str">
        <f t="shared" si="0"/>
        <v/>
      </c>
      <c r="N1007" s="44" t="str">
        <f>IF(COUNTA(B1007)&gt;0,C5,"")</f>
        <v/>
      </c>
      <c r="AO1007" t="str">
        <f t="shared" si="16"/>
        <v/>
      </c>
    </row>
    <row r="1008" spans="1:41" x14ac:dyDescent="0.2">
      <c r="A1008" s="44" t="str">
        <f>IF(COUNTA(B1008)&gt;0,1000,"")</f>
        <v/>
      </c>
      <c r="G1008" s="25" t="str">
        <f t="shared" si="0"/>
        <v/>
      </c>
      <c r="N1008" s="44" t="str">
        <f>IF(COUNTA(B1008)&gt;0,C5,"")</f>
        <v/>
      </c>
      <c r="AO1008" t="str">
        <f t="shared" si="16"/>
        <v/>
      </c>
    </row>
    <row r="1009" spans="1:41" x14ac:dyDescent="0.2">
      <c r="A1009" s="44" t="str">
        <f>IF(COUNTA(B1009)&gt;0,1001,"")</f>
        <v/>
      </c>
      <c r="G1009" s="25" t="str">
        <f t="shared" si="0"/>
        <v/>
      </c>
      <c r="N1009" s="44" t="str">
        <f>IF(COUNTA(B1009)&gt;0,C5,"")</f>
        <v/>
      </c>
      <c r="AO1009" t="str">
        <f t="shared" si="16"/>
        <v/>
      </c>
    </row>
    <row r="1010" spans="1:41" x14ac:dyDescent="0.2">
      <c r="A1010" s="44" t="str">
        <f>IF(COUNTA(B1010)&gt;0,1002,"")</f>
        <v/>
      </c>
      <c r="G1010" s="25" t="str">
        <f t="shared" si="0"/>
        <v/>
      </c>
      <c r="N1010" s="44" t="str">
        <f>IF(COUNTA(B1010)&gt;0,C5,"")</f>
        <v/>
      </c>
      <c r="AO1010" t="str">
        <f t="shared" si="16"/>
        <v/>
      </c>
    </row>
    <row r="1011" spans="1:41" x14ac:dyDescent="0.2">
      <c r="A1011" s="44" t="str">
        <f>IF(COUNTA(B1011)&gt;0,1003,"")</f>
        <v/>
      </c>
      <c r="G1011" s="25" t="str">
        <f t="shared" si="0"/>
        <v/>
      </c>
      <c r="N1011" s="44" t="str">
        <f>IF(COUNTA(B1011)&gt;0,C5,"")</f>
        <v/>
      </c>
      <c r="AO1011" t="str">
        <f t="shared" si="16"/>
        <v/>
      </c>
    </row>
    <row r="1012" spans="1:41" x14ac:dyDescent="0.2">
      <c r="A1012" s="44" t="str">
        <f>IF(COUNTA(B1012)&gt;0,1004,"")</f>
        <v/>
      </c>
      <c r="G1012" s="25" t="str">
        <f t="shared" si="0"/>
        <v/>
      </c>
      <c r="N1012" s="44" t="str">
        <f>IF(COUNTA(B1012)&gt;0,C5,"")</f>
        <v/>
      </c>
      <c r="AO1012" t="str">
        <f t="shared" si="16"/>
        <v/>
      </c>
    </row>
    <row r="1013" spans="1:41" x14ac:dyDescent="0.2">
      <c r="A1013" s="44" t="str">
        <f>IF(COUNTA(B1013)&gt;0,1005,"")</f>
        <v/>
      </c>
      <c r="G1013" s="25" t="str">
        <f t="shared" si="0"/>
        <v/>
      </c>
      <c r="N1013" s="44" t="str">
        <f>IF(COUNTA(B1013)&gt;0,C5,"")</f>
        <v/>
      </c>
      <c r="AO1013" t="str">
        <f t="shared" si="16"/>
        <v/>
      </c>
    </row>
    <row r="1014" spans="1:41" x14ac:dyDescent="0.2">
      <c r="A1014" s="44" t="str">
        <f>IF(COUNTA(B1014)&gt;0,1006,"")</f>
        <v/>
      </c>
      <c r="G1014" s="25" t="str">
        <f t="shared" si="0"/>
        <v/>
      </c>
      <c r="N1014" s="44" t="str">
        <f>IF(COUNTA(B1014)&gt;0,C5,"")</f>
        <v/>
      </c>
      <c r="AO1014" t="str">
        <f t="shared" si="16"/>
        <v/>
      </c>
    </row>
    <row r="1015" spans="1:41" x14ac:dyDescent="0.2">
      <c r="A1015" s="44" t="str">
        <f>IF(COUNTA(B1015)&gt;0,1007,"")</f>
        <v/>
      </c>
      <c r="G1015" s="25" t="str">
        <f t="shared" si="0"/>
        <v/>
      </c>
      <c r="N1015" s="44" t="str">
        <f>IF(COUNTA(B1015)&gt;0,C5,"")</f>
        <v/>
      </c>
      <c r="AO1015" t="str">
        <f t="shared" si="16"/>
        <v/>
      </c>
    </row>
    <row r="1016" spans="1:41" x14ac:dyDescent="0.2">
      <c r="A1016" s="44" t="str">
        <f>IF(COUNTA(B1016)&gt;0,1008,"")</f>
        <v/>
      </c>
      <c r="G1016" s="25" t="str">
        <f t="shared" si="0"/>
        <v/>
      </c>
      <c r="N1016" s="44" t="str">
        <f>IF(COUNTA(B1016)&gt;0,C5,"")</f>
        <v/>
      </c>
      <c r="AO1016" t="str">
        <f t="shared" si="16"/>
        <v/>
      </c>
    </row>
    <row r="1017" spans="1:41" x14ac:dyDescent="0.2">
      <c r="A1017" s="44" t="str">
        <f>IF(COUNTA(B1017)&gt;0,1009,"")</f>
        <v/>
      </c>
      <c r="G1017" s="25" t="str">
        <f t="shared" si="0"/>
        <v/>
      </c>
      <c r="N1017" s="44" t="str">
        <f>IF(COUNTA(B1017)&gt;0,C5,"")</f>
        <v/>
      </c>
      <c r="AO1017" t="str">
        <f t="shared" si="16"/>
        <v/>
      </c>
    </row>
    <row r="1018" spans="1:41" x14ac:dyDescent="0.2">
      <c r="A1018" s="44" t="str">
        <f>IF(COUNTA(B1018)&gt;0,1010,"")</f>
        <v/>
      </c>
      <c r="G1018" s="25" t="str">
        <f t="shared" si="0"/>
        <v/>
      </c>
      <c r="N1018" s="44" t="str">
        <f>IF(COUNTA(B1018)&gt;0,C5,"")</f>
        <v/>
      </c>
      <c r="AO1018" t="str">
        <f t="shared" si="16"/>
        <v/>
      </c>
    </row>
    <row r="1019" spans="1:41" x14ac:dyDescent="0.2">
      <c r="A1019" s="44" t="str">
        <f>IF(COUNTA(B1019)&gt;0,1011,"")</f>
        <v/>
      </c>
      <c r="G1019" s="25" t="str">
        <f t="shared" si="0"/>
        <v/>
      </c>
      <c r="N1019" s="44" t="str">
        <f>IF(COUNTA(B1019)&gt;0,C5,"")</f>
        <v/>
      </c>
      <c r="AO1019" t="str">
        <f t="shared" si="16"/>
        <v/>
      </c>
    </row>
    <row r="1020" spans="1:41" x14ac:dyDescent="0.2">
      <c r="A1020" s="44" t="str">
        <f>IF(COUNTA(B1020)&gt;0,1012,"")</f>
        <v/>
      </c>
      <c r="G1020" s="25" t="str">
        <f t="shared" si="0"/>
        <v/>
      </c>
      <c r="N1020" s="44" t="str">
        <f>IF(COUNTA(B1020)&gt;0,C5,"")</f>
        <v/>
      </c>
      <c r="AO1020" t="str">
        <f t="shared" si="16"/>
        <v/>
      </c>
    </row>
    <row r="1021" spans="1:41" x14ac:dyDescent="0.2">
      <c r="A1021" s="44" t="str">
        <f>IF(COUNTA(B1021)&gt;0,1013,"")</f>
        <v/>
      </c>
      <c r="G1021" s="25" t="str">
        <f t="shared" si="0"/>
        <v/>
      </c>
      <c r="N1021" s="44" t="str">
        <f>IF(COUNTA(B1021)&gt;0,C5,"")</f>
        <v/>
      </c>
      <c r="AO1021" t="str">
        <f t="shared" si="16"/>
        <v/>
      </c>
    </row>
    <row r="1022" spans="1:41" x14ac:dyDescent="0.2">
      <c r="A1022" s="44" t="str">
        <f>IF(COUNTA(B1022)&gt;0,1014,"")</f>
        <v/>
      </c>
      <c r="G1022" s="25" t="str">
        <f t="shared" si="0"/>
        <v/>
      </c>
      <c r="N1022" s="44" t="str">
        <f>IF(COUNTA(B1022)&gt;0,C5,"")</f>
        <v/>
      </c>
      <c r="AO1022" t="str">
        <f t="shared" si="16"/>
        <v/>
      </c>
    </row>
    <row r="1023" spans="1:41" x14ac:dyDescent="0.2">
      <c r="A1023" s="44" t="str">
        <f>IF(COUNTA(B1023)&gt;0,1015,"")</f>
        <v/>
      </c>
      <c r="G1023" s="25" t="str">
        <f t="shared" si="0"/>
        <v/>
      </c>
      <c r="N1023" s="44" t="str">
        <f>IF(COUNTA(B1023)&gt;0,C5,"")</f>
        <v/>
      </c>
      <c r="AO1023" t="str">
        <f t="shared" si="16"/>
        <v/>
      </c>
    </row>
    <row r="1024" spans="1:41" x14ac:dyDescent="0.2">
      <c r="A1024" s="44" t="str">
        <f>IF(COUNTA(B1024)&gt;0,1016,"")</f>
        <v/>
      </c>
      <c r="G1024" s="25" t="str">
        <f t="shared" si="0"/>
        <v/>
      </c>
      <c r="N1024" s="44" t="str">
        <f>IF(COUNTA(B1024)&gt;0,C5,"")</f>
        <v/>
      </c>
      <c r="AO1024" t="str">
        <f t="shared" si="16"/>
        <v/>
      </c>
    </row>
    <row r="1025" spans="1:41" x14ac:dyDescent="0.2">
      <c r="A1025" s="44" t="str">
        <f>IF(COUNTA(B1025)&gt;0,1017,"")</f>
        <v/>
      </c>
      <c r="G1025" s="25" t="str">
        <f t="shared" si="0"/>
        <v/>
      </c>
      <c r="N1025" s="44" t="str">
        <f>IF(COUNTA(B1025)&gt;0,C5,"")</f>
        <v/>
      </c>
      <c r="AO1025" t="str">
        <f t="shared" si="16"/>
        <v/>
      </c>
    </row>
    <row r="1026" spans="1:41" x14ac:dyDescent="0.2">
      <c r="A1026" s="44" t="str">
        <f>IF(COUNTA(B1026)&gt;0,1018,"")</f>
        <v/>
      </c>
      <c r="G1026" s="25" t="str">
        <f t="shared" si="0"/>
        <v/>
      </c>
      <c r="N1026" s="44" t="str">
        <f>IF(COUNTA(B1026)&gt;0,C5,"")</f>
        <v/>
      </c>
      <c r="AO1026" t="str">
        <f t="shared" si="16"/>
        <v/>
      </c>
    </row>
    <row r="1027" spans="1:41" x14ac:dyDescent="0.2">
      <c r="A1027" s="44" t="str">
        <f>IF(COUNTA(B1027)&gt;0,1019,"")</f>
        <v/>
      </c>
      <c r="G1027" s="25" t="str">
        <f t="shared" si="0"/>
        <v/>
      </c>
      <c r="N1027" s="44" t="str">
        <f>IF(COUNTA(B1027)&gt;0,C5,"")</f>
        <v/>
      </c>
      <c r="AO1027" t="str">
        <f t="shared" si="16"/>
        <v/>
      </c>
    </row>
    <row r="1028" spans="1:41" x14ac:dyDescent="0.2">
      <c r="A1028" s="44" t="str">
        <f>IF(COUNTA(B1028)&gt;0,1020,"")</f>
        <v/>
      </c>
      <c r="G1028" s="25" t="str">
        <f t="shared" si="0"/>
        <v/>
      </c>
      <c r="N1028" s="44" t="str">
        <f>IF(COUNTA(B1028)&gt;0,C5,"")</f>
        <v/>
      </c>
      <c r="AO1028" t="str">
        <f t="shared" si="16"/>
        <v/>
      </c>
    </row>
    <row r="1029" spans="1:41" x14ac:dyDescent="0.2">
      <c r="A1029" s="44" t="str">
        <f>IF(COUNTA(B1029)&gt;0,1021,"")</f>
        <v/>
      </c>
      <c r="G1029" s="25" t="str">
        <f t="shared" si="0"/>
        <v/>
      </c>
      <c r="N1029" s="44" t="str">
        <f>IF(COUNTA(B1029)&gt;0,C5,"")</f>
        <v/>
      </c>
      <c r="AO1029" t="str">
        <f t="shared" si="16"/>
        <v/>
      </c>
    </row>
    <row r="1030" spans="1:41" x14ac:dyDescent="0.2">
      <c r="A1030" s="44" t="str">
        <f>IF(COUNTA(B1030)&gt;0,1022,"")</f>
        <v/>
      </c>
      <c r="G1030" s="25" t="str">
        <f t="shared" si="0"/>
        <v/>
      </c>
      <c r="N1030" s="44" t="str">
        <f>IF(COUNTA(B1030)&gt;0,C5,"")</f>
        <v/>
      </c>
      <c r="AO1030" t="str">
        <f t="shared" si="16"/>
        <v/>
      </c>
    </row>
    <row r="1031" spans="1:41" x14ac:dyDescent="0.2">
      <c r="A1031" s="44" t="str">
        <f>IF(COUNTA(B1031)&gt;0,1023,"")</f>
        <v/>
      </c>
      <c r="G1031" s="25" t="str">
        <f t="shared" si="0"/>
        <v/>
      </c>
      <c r="N1031" s="44" t="str">
        <f>IF(COUNTA(B1031)&gt;0,C5,"")</f>
        <v/>
      </c>
      <c r="AO1031" t="str">
        <f t="shared" si="16"/>
        <v/>
      </c>
    </row>
    <row r="1032" spans="1:41" x14ac:dyDescent="0.2">
      <c r="A1032" s="44" t="str">
        <f>IF(COUNTA(B1032)&gt;0,1024,"")</f>
        <v/>
      </c>
      <c r="G1032" s="25" t="str">
        <f t="shared" si="0"/>
        <v/>
      </c>
      <c r="N1032" s="44" t="str">
        <f>IF(COUNTA(B1032)&gt;0,C5,"")</f>
        <v/>
      </c>
      <c r="AO1032" t="str">
        <f t="shared" si="16"/>
        <v/>
      </c>
    </row>
    <row r="1033" spans="1:41" x14ac:dyDescent="0.2">
      <c r="A1033" s="44" t="str">
        <f>IF(COUNTA(B1033)&gt;0,1025,"")</f>
        <v/>
      </c>
      <c r="G1033" s="25" t="str">
        <f t="shared" si="0"/>
        <v/>
      </c>
      <c r="N1033" s="44" t="str">
        <f>IF(COUNTA(B1033)&gt;0,C5,"")</f>
        <v/>
      </c>
      <c r="AO1033" t="str">
        <f t="shared" ref="AO1033:AO1096" si="17">IF(COUNTA(L1033:M1033)&lt;&gt;0,"Có",IF(COUNTA(B1033)&gt;0,"Không",""))</f>
        <v/>
      </c>
    </row>
    <row r="1034" spans="1:41" x14ac:dyDescent="0.2">
      <c r="A1034" s="44" t="str">
        <f>IF(COUNTA(B1034)&gt;0,1026,"")</f>
        <v/>
      </c>
      <c r="G1034" s="25" t="str">
        <f t="shared" si="0"/>
        <v/>
      </c>
      <c r="N1034" s="44" t="str">
        <f>IF(COUNTA(B1034)&gt;0,C5,"")</f>
        <v/>
      </c>
      <c r="AO1034" t="str">
        <f t="shared" si="17"/>
        <v/>
      </c>
    </row>
    <row r="1035" spans="1:41" x14ac:dyDescent="0.2">
      <c r="A1035" s="44" t="str">
        <f>IF(COUNTA(B1035)&gt;0,1027,"")</f>
        <v/>
      </c>
      <c r="G1035" s="25" t="str">
        <f t="shared" si="0"/>
        <v/>
      </c>
      <c r="N1035" s="44" t="str">
        <f>IF(COUNTA(B1035)&gt;0,C5,"")</f>
        <v/>
      </c>
      <c r="AO1035" t="str">
        <f t="shared" si="17"/>
        <v/>
      </c>
    </row>
    <row r="1036" spans="1:41" x14ac:dyDescent="0.2">
      <c r="A1036" s="44" t="str">
        <f>IF(COUNTA(B1036)&gt;0,1028,"")</f>
        <v/>
      </c>
      <c r="G1036" s="25" t="str">
        <f t="shared" si="0"/>
        <v/>
      </c>
      <c r="N1036" s="44" t="str">
        <f>IF(COUNTA(B1036)&gt;0,C5,"")</f>
        <v/>
      </c>
      <c r="AO1036" t="str">
        <f t="shared" si="17"/>
        <v/>
      </c>
    </row>
    <row r="1037" spans="1:41" x14ac:dyDescent="0.2">
      <c r="A1037" s="44" t="str">
        <f>IF(COUNTA(B1037)&gt;0,1029,"")</f>
        <v/>
      </c>
      <c r="G1037" s="25" t="str">
        <f t="shared" si="0"/>
        <v/>
      </c>
      <c r="N1037" s="44" t="str">
        <f>IF(COUNTA(B1037)&gt;0,C5,"")</f>
        <v/>
      </c>
      <c r="AO1037" t="str">
        <f t="shared" si="17"/>
        <v/>
      </c>
    </row>
    <row r="1038" spans="1:41" x14ac:dyDescent="0.2">
      <c r="A1038" s="44" t="str">
        <f>IF(COUNTA(B1038)&gt;0,1030,"")</f>
        <v/>
      </c>
      <c r="G1038" s="25" t="str">
        <f t="shared" si="0"/>
        <v/>
      </c>
      <c r="N1038" s="44" t="str">
        <f>IF(COUNTA(B1038)&gt;0,C5,"")</f>
        <v/>
      </c>
      <c r="AO1038" t="str">
        <f t="shared" si="17"/>
        <v/>
      </c>
    </row>
    <row r="1039" spans="1:41" x14ac:dyDescent="0.2">
      <c r="A1039" s="44" t="str">
        <f>IF(COUNTA(B1039)&gt;0,1031,"")</f>
        <v/>
      </c>
      <c r="G1039" s="25" t="str">
        <f t="shared" si="0"/>
        <v/>
      </c>
      <c r="N1039" s="44" t="str">
        <f>IF(COUNTA(B1039)&gt;0,C5,"")</f>
        <v/>
      </c>
      <c r="AO1039" t="str">
        <f t="shared" si="17"/>
        <v/>
      </c>
    </row>
    <row r="1040" spans="1:41" x14ac:dyDescent="0.2">
      <c r="A1040" s="44" t="str">
        <f>IF(COUNTA(B1040)&gt;0,1032,"")</f>
        <v/>
      </c>
      <c r="G1040" s="25" t="str">
        <f t="shared" si="0"/>
        <v/>
      </c>
      <c r="N1040" s="44" t="str">
        <f>IF(COUNTA(B1040)&gt;0,C5,"")</f>
        <v/>
      </c>
      <c r="AO1040" t="str">
        <f t="shared" si="17"/>
        <v/>
      </c>
    </row>
    <row r="1041" spans="1:41" x14ac:dyDescent="0.2">
      <c r="A1041" s="44" t="str">
        <f>IF(COUNTA(B1041)&gt;0,1033,"")</f>
        <v/>
      </c>
      <c r="G1041" s="25" t="str">
        <f t="shared" si="0"/>
        <v/>
      </c>
      <c r="N1041" s="44" t="str">
        <f>IF(COUNTA(B1041)&gt;0,C5,"")</f>
        <v/>
      </c>
      <c r="AO1041" t="str">
        <f t="shared" si="17"/>
        <v/>
      </c>
    </row>
    <row r="1042" spans="1:41" x14ac:dyDescent="0.2">
      <c r="A1042" s="44" t="str">
        <f>IF(COUNTA(B1042)&gt;0,1034,"")</f>
        <v/>
      </c>
      <c r="G1042" s="25" t="str">
        <f t="shared" si="0"/>
        <v/>
      </c>
      <c r="N1042" s="44" t="str">
        <f>IF(COUNTA(B1042)&gt;0,C5,"")</f>
        <v/>
      </c>
      <c r="AO1042" t="str">
        <f t="shared" si="17"/>
        <v/>
      </c>
    </row>
    <row r="1043" spans="1:41" x14ac:dyDescent="0.2">
      <c r="A1043" s="44" t="str">
        <f>IF(COUNTA(B1043)&gt;0,1035,"")</f>
        <v/>
      </c>
      <c r="G1043" s="25" t="str">
        <f t="shared" si="0"/>
        <v/>
      </c>
      <c r="N1043" s="44" t="str">
        <f>IF(COUNTA(B1043)&gt;0,C5,"")</f>
        <v/>
      </c>
      <c r="AO1043" t="str">
        <f t="shared" si="17"/>
        <v/>
      </c>
    </row>
    <row r="1044" spans="1:41" x14ac:dyDescent="0.2">
      <c r="A1044" s="44" t="str">
        <f>IF(COUNTA(B1044)&gt;0,1036,"")</f>
        <v/>
      </c>
      <c r="G1044" s="25" t="str">
        <f t="shared" si="0"/>
        <v/>
      </c>
      <c r="N1044" s="44" t="str">
        <f>IF(COUNTA(B1044)&gt;0,C5,"")</f>
        <v/>
      </c>
      <c r="AO1044" t="str">
        <f t="shared" si="17"/>
        <v/>
      </c>
    </row>
    <row r="1045" spans="1:41" x14ac:dyDescent="0.2">
      <c r="A1045" s="44" t="str">
        <f>IF(COUNTA(B1045)&gt;0,1037,"")</f>
        <v/>
      </c>
      <c r="G1045" s="25" t="str">
        <f t="shared" si="0"/>
        <v/>
      </c>
      <c r="N1045" s="44" t="str">
        <f>IF(COUNTA(B1045)&gt;0,C5,"")</f>
        <v/>
      </c>
      <c r="AO1045" t="str">
        <f t="shared" si="17"/>
        <v/>
      </c>
    </row>
    <row r="1046" spans="1:41" x14ac:dyDescent="0.2">
      <c r="A1046" s="44" t="str">
        <f>IF(COUNTA(B1046)&gt;0,1038,"")</f>
        <v/>
      </c>
      <c r="G1046" s="25" t="str">
        <f t="shared" si="0"/>
        <v/>
      </c>
      <c r="N1046" s="44" t="str">
        <f>IF(COUNTA(B1046)&gt;0,C5,"")</f>
        <v/>
      </c>
      <c r="AO1046" t="str">
        <f t="shared" si="17"/>
        <v/>
      </c>
    </row>
    <row r="1047" spans="1:41" x14ac:dyDescent="0.2">
      <c r="A1047" s="44" t="str">
        <f>IF(COUNTA(B1047)&gt;0,1039,"")</f>
        <v/>
      </c>
      <c r="G1047" s="25" t="str">
        <f t="shared" si="0"/>
        <v/>
      </c>
      <c r="N1047" s="44" t="str">
        <f>IF(COUNTA(B1047)&gt;0,C5,"")</f>
        <v/>
      </c>
      <c r="AO1047" t="str">
        <f t="shared" si="17"/>
        <v/>
      </c>
    </row>
    <row r="1048" spans="1:41" x14ac:dyDescent="0.2">
      <c r="A1048" s="44" t="str">
        <f>IF(COUNTA(B1048)&gt;0,1040,"")</f>
        <v/>
      </c>
      <c r="G1048" s="25" t="str">
        <f t="shared" si="0"/>
        <v/>
      </c>
      <c r="N1048" s="44" t="str">
        <f>IF(COUNTA(B1048)&gt;0,C5,"")</f>
        <v/>
      </c>
      <c r="AO1048" t="str">
        <f t="shared" si="17"/>
        <v/>
      </c>
    </row>
    <row r="1049" spans="1:41" x14ac:dyDescent="0.2">
      <c r="A1049" s="44" t="str">
        <f>IF(COUNTA(B1049)&gt;0,1041,"")</f>
        <v/>
      </c>
      <c r="G1049" s="25" t="str">
        <f t="shared" si="0"/>
        <v/>
      </c>
      <c r="N1049" s="44" t="str">
        <f>IF(COUNTA(B1049)&gt;0,C5,"")</f>
        <v/>
      </c>
      <c r="AO1049" t="str">
        <f t="shared" si="17"/>
        <v/>
      </c>
    </row>
    <row r="1050" spans="1:41" x14ac:dyDescent="0.2">
      <c r="A1050" s="44" t="str">
        <f>IF(COUNTA(B1050)&gt;0,1042,"")</f>
        <v/>
      </c>
      <c r="G1050" s="25" t="str">
        <f t="shared" si="0"/>
        <v/>
      </c>
      <c r="N1050" s="44" t="str">
        <f>IF(COUNTA(B1050)&gt;0,C5,"")</f>
        <v/>
      </c>
      <c r="AO1050" t="str">
        <f t="shared" si="17"/>
        <v/>
      </c>
    </row>
    <row r="1051" spans="1:41" x14ac:dyDescent="0.2">
      <c r="A1051" s="44" t="str">
        <f>IF(COUNTA(B1051)&gt;0,1043,"")</f>
        <v/>
      </c>
      <c r="G1051" s="25" t="str">
        <f t="shared" si="0"/>
        <v/>
      </c>
      <c r="N1051" s="44" t="str">
        <f>IF(COUNTA(B1051)&gt;0,C5,"")</f>
        <v/>
      </c>
      <c r="AO1051" t="str">
        <f t="shared" si="17"/>
        <v/>
      </c>
    </row>
    <row r="1052" spans="1:41" x14ac:dyDescent="0.2">
      <c r="A1052" s="44" t="str">
        <f>IF(COUNTA(B1052)&gt;0,1044,"")</f>
        <v/>
      </c>
      <c r="G1052" s="25" t="str">
        <f t="shared" si="0"/>
        <v/>
      </c>
      <c r="N1052" s="44" t="str">
        <f>IF(COUNTA(B1052)&gt;0,C5,"")</f>
        <v/>
      </c>
      <c r="AO1052" t="str">
        <f t="shared" si="17"/>
        <v/>
      </c>
    </row>
    <row r="1053" spans="1:41" x14ac:dyDescent="0.2">
      <c r="A1053" s="44" t="str">
        <f>IF(COUNTA(B1053)&gt;0,1045,"")</f>
        <v/>
      </c>
      <c r="G1053" s="25" t="str">
        <f t="shared" si="0"/>
        <v/>
      </c>
      <c r="N1053" s="44" t="str">
        <f>IF(COUNTA(B1053)&gt;0,C5,"")</f>
        <v/>
      </c>
      <c r="AO1053" t="str">
        <f t="shared" si="17"/>
        <v/>
      </c>
    </row>
    <row r="1054" spans="1:41" x14ac:dyDescent="0.2">
      <c r="A1054" s="44" t="str">
        <f>IF(COUNTA(B1054)&gt;0,1046,"")</f>
        <v/>
      </c>
      <c r="G1054" s="25" t="str">
        <f t="shared" si="0"/>
        <v/>
      </c>
      <c r="N1054" s="44" t="str">
        <f>IF(COUNTA(B1054)&gt;0,C5,"")</f>
        <v/>
      </c>
      <c r="AO1054" t="str">
        <f t="shared" si="17"/>
        <v/>
      </c>
    </row>
    <row r="1055" spans="1:41" x14ac:dyDescent="0.2">
      <c r="A1055" s="44" t="str">
        <f>IF(COUNTA(B1055)&gt;0,1047,"")</f>
        <v/>
      </c>
      <c r="G1055" s="25" t="str">
        <f t="shared" si="0"/>
        <v/>
      </c>
      <c r="N1055" s="44" t="str">
        <f>IF(COUNTA(B1055)&gt;0,C5,"")</f>
        <v/>
      </c>
      <c r="AO1055" t="str">
        <f t="shared" si="17"/>
        <v/>
      </c>
    </row>
    <row r="1056" spans="1:41" x14ac:dyDescent="0.2">
      <c r="A1056" s="44" t="str">
        <f>IF(COUNTA(B1056)&gt;0,1048,"")</f>
        <v/>
      </c>
      <c r="G1056" s="25" t="str">
        <f t="shared" si="0"/>
        <v/>
      </c>
      <c r="N1056" s="44" t="str">
        <f>IF(COUNTA(B1056)&gt;0,C5,"")</f>
        <v/>
      </c>
      <c r="AO1056" t="str">
        <f t="shared" si="17"/>
        <v/>
      </c>
    </row>
    <row r="1057" spans="1:41" x14ac:dyDescent="0.2">
      <c r="A1057" s="44" t="str">
        <f>IF(COUNTA(B1057)&gt;0,1049,"")</f>
        <v/>
      </c>
      <c r="G1057" s="25" t="str">
        <f t="shared" si="0"/>
        <v/>
      </c>
      <c r="N1057" s="44" t="str">
        <f>IF(COUNTA(B1057)&gt;0,C5,"")</f>
        <v/>
      </c>
      <c r="AO1057" t="str">
        <f t="shared" si="17"/>
        <v/>
      </c>
    </row>
    <row r="1058" spans="1:41" x14ac:dyDescent="0.2">
      <c r="A1058" s="44" t="str">
        <f>IF(COUNTA(B1058)&gt;0,1050,"")</f>
        <v/>
      </c>
      <c r="G1058" s="25" t="str">
        <f t="shared" si="0"/>
        <v/>
      </c>
      <c r="N1058" s="44" t="str">
        <f>IF(COUNTA(B1058)&gt;0,C5,"")</f>
        <v/>
      </c>
      <c r="AO1058" t="str">
        <f t="shared" si="17"/>
        <v/>
      </c>
    </row>
    <row r="1059" spans="1:41" x14ac:dyDescent="0.2">
      <c r="A1059" s="44" t="str">
        <f>IF(COUNTA(B1059)&gt;0,1051,"")</f>
        <v/>
      </c>
      <c r="G1059" s="25" t="str">
        <f t="shared" si="0"/>
        <v/>
      </c>
      <c r="N1059" s="44" t="str">
        <f>IF(COUNTA(B1059)&gt;0,C5,"")</f>
        <v/>
      </c>
      <c r="AO1059" t="str">
        <f t="shared" si="17"/>
        <v/>
      </c>
    </row>
    <row r="1060" spans="1:41" x14ac:dyDescent="0.2">
      <c r="A1060" s="44" t="str">
        <f>IF(COUNTA(B1060)&gt;0,1052,"")</f>
        <v/>
      </c>
      <c r="G1060" s="25" t="str">
        <f t="shared" si="0"/>
        <v/>
      </c>
      <c r="N1060" s="44" t="str">
        <f>IF(COUNTA(B1060)&gt;0,C5,"")</f>
        <v/>
      </c>
      <c r="AO1060" t="str">
        <f t="shared" si="17"/>
        <v/>
      </c>
    </row>
    <row r="1061" spans="1:41" x14ac:dyDescent="0.2">
      <c r="A1061" s="44" t="str">
        <f>IF(COUNTA(B1061)&gt;0,1053,"")</f>
        <v/>
      </c>
      <c r="G1061" s="25" t="str">
        <f t="shared" si="0"/>
        <v/>
      </c>
      <c r="N1061" s="44" t="str">
        <f>IF(COUNTA(B1061)&gt;0,C5,"")</f>
        <v/>
      </c>
      <c r="AO1061" t="str">
        <f t="shared" si="17"/>
        <v/>
      </c>
    </row>
    <row r="1062" spans="1:41" x14ac:dyDescent="0.2">
      <c r="A1062" s="44" t="str">
        <f>IF(COUNTA(B1062)&gt;0,1054,"")</f>
        <v/>
      </c>
      <c r="G1062" s="25" t="str">
        <f t="shared" si="0"/>
        <v/>
      </c>
      <c r="N1062" s="44" t="str">
        <f>IF(COUNTA(B1062)&gt;0,C5,"")</f>
        <v/>
      </c>
      <c r="AO1062" t="str">
        <f t="shared" si="17"/>
        <v/>
      </c>
    </row>
    <row r="1063" spans="1:41" x14ac:dyDescent="0.2">
      <c r="A1063" s="44" t="str">
        <f>IF(COUNTA(B1063)&gt;0,1055,"")</f>
        <v/>
      </c>
      <c r="G1063" s="25" t="str">
        <f t="shared" si="0"/>
        <v/>
      </c>
      <c r="N1063" s="44" t="str">
        <f>IF(COUNTA(B1063)&gt;0,C5,"")</f>
        <v/>
      </c>
      <c r="AO1063" t="str">
        <f t="shared" si="17"/>
        <v/>
      </c>
    </row>
    <row r="1064" spans="1:41" x14ac:dyDescent="0.2">
      <c r="A1064" s="44" t="str">
        <f>IF(COUNTA(B1064)&gt;0,1056,"")</f>
        <v/>
      </c>
      <c r="G1064" s="25" t="str">
        <f t="shared" si="0"/>
        <v/>
      </c>
      <c r="N1064" s="44" t="str">
        <f>IF(COUNTA(B1064)&gt;0,C5,"")</f>
        <v/>
      </c>
      <c r="AO1064" t="str">
        <f t="shared" si="17"/>
        <v/>
      </c>
    </row>
    <row r="1065" spans="1:41" x14ac:dyDescent="0.2">
      <c r="A1065" s="44" t="str">
        <f>IF(COUNTA(B1065)&gt;0,1057,"")</f>
        <v/>
      </c>
      <c r="G1065" s="25" t="str">
        <f t="shared" si="0"/>
        <v/>
      </c>
      <c r="N1065" s="44" t="str">
        <f>IF(COUNTA(B1065)&gt;0,C5,"")</f>
        <v/>
      </c>
      <c r="AO1065" t="str">
        <f t="shared" si="17"/>
        <v/>
      </c>
    </row>
    <row r="1066" spans="1:41" x14ac:dyDescent="0.2">
      <c r="A1066" s="44" t="str">
        <f>IF(COUNTA(B1066)&gt;0,1058,"")</f>
        <v/>
      </c>
      <c r="G1066" s="25" t="str">
        <f t="shared" si="0"/>
        <v/>
      </c>
      <c r="N1066" s="44" t="str">
        <f>IF(COUNTA(B1066)&gt;0,C5,"")</f>
        <v/>
      </c>
      <c r="AO1066" t="str">
        <f t="shared" si="17"/>
        <v/>
      </c>
    </row>
    <row r="1067" spans="1:41" x14ac:dyDescent="0.2">
      <c r="A1067" s="44" t="str">
        <f>IF(COUNTA(B1067)&gt;0,1059,"")</f>
        <v/>
      </c>
      <c r="G1067" s="25" t="str">
        <f t="shared" si="0"/>
        <v/>
      </c>
      <c r="N1067" s="44" t="str">
        <f>IF(COUNTA(B1067)&gt;0,C5,"")</f>
        <v/>
      </c>
      <c r="AO1067" t="str">
        <f t="shared" si="17"/>
        <v/>
      </c>
    </row>
    <row r="1068" spans="1:41" x14ac:dyDescent="0.2">
      <c r="A1068" s="44" t="str">
        <f>IF(COUNTA(B1068)&gt;0,1060,"")</f>
        <v/>
      </c>
      <c r="G1068" s="25" t="str">
        <f t="shared" si="0"/>
        <v/>
      </c>
      <c r="N1068" s="44" t="str">
        <f>IF(COUNTA(B1068)&gt;0,C5,"")</f>
        <v/>
      </c>
      <c r="AO1068" t="str">
        <f t="shared" si="17"/>
        <v/>
      </c>
    </row>
    <row r="1069" spans="1:41" x14ac:dyDescent="0.2">
      <c r="A1069" s="44" t="str">
        <f>IF(COUNTA(B1069)&gt;0,1061,"")</f>
        <v/>
      </c>
      <c r="G1069" s="25" t="str">
        <f t="shared" si="0"/>
        <v/>
      </c>
      <c r="N1069" s="44" t="str">
        <f>IF(COUNTA(B1069)&gt;0,C5,"")</f>
        <v/>
      </c>
      <c r="AO1069" t="str">
        <f t="shared" si="17"/>
        <v/>
      </c>
    </row>
    <row r="1070" spans="1:41" x14ac:dyDescent="0.2">
      <c r="A1070" s="44" t="str">
        <f>IF(COUNTA(B1070)&gt;0,1062,"")</f>
        <v/>
      </c>
      <c r="G1070" s="25" t="str">
        <f t="shared" si="0"/>
        <v/>
      </c>
      <c r="N1070" s="44" t="str">
        <f>IF(COUNTA(B1070)&gt;0,C5,"")</f>
        <v/>
      </c>
      <c r="AO1070" t="str">
        <f t="shared" si="17"/>
        <v/>
      </c>
    </row>
    <row r="1071" spans="1:41" x14ac:dyDescent="0.2">
      <c r="A1071" s="44" t="str">
        <f>IF(COUNTA(B1071)&gt;0,1063,"")</f>
        <v/>
      </c>
      <c r="G1071" s="25" t="str">
        <f t="shared" si="0"/>
        <v/>
      </c>
      <c r="N1071" s="44" t="str">
        <f>IF(COUNTA(B1071)&gt;0,C5,"")</f>
        <v/>
      </c>
      <c r="AO1071" t="str">
        <f t="shared" si="17"/>
        <v/>
      </c>
    </row>
    <row r="1072" spans="1:41" x14ac:dyDescent="0.2">
      <c r="A1072" s="44" t="str">
        <f>IF(COUNTA(B1072)&gt;0,1064,"")</f>
        <v/>
      </c>
      <c r="G1072" s="25" t="str">
        <f t="shared" si="0"/>
        <v/>
      </c>
      <c r="N1072" s="44" t="str">
        <f>IF(COUNTA(B1072)&gt;0,C5,"")</f>
        <v/>
      </c>
      <c r="AO1072" t="str">
        <f t="shared" si="17"/>
        <v/>
      </c>
    </row>
    <row r="1073" spans="1:41" x14ac:dyDescent="0.2">
      <c r="A1073" s="44" t="str">
        <f>IF(COUNTA(B1073)&gt;0,1065,"")</f>
        <v/>
      </c>
      <c r="G1073" s="25" t="str">
        <f t="shared" si="0"/>
        <v/>
      </c>
      <c r="N1073" s="44" t="str">
        <f>IF(COUNTA(B1073)&gt;0,C5,"")</f>
        <v/>
      </c>
      <c r="AO1073" t="str">
        <f t="shared" si="17"/>
        <v/>
      </c>
    </row>
    <row r="1074" spans="1:41" x14ac:dyDescent="0.2">
      <c r="A1074" s="44" t="str">
        <f>IF(COUNTA(B1074)&gt;0,1066,"")</f>
        <v/>
      </c>
      <c r="G1074" s="25" t="str">
        <f t="shared" si="0"/>
        <v/>
      </c>
      <c r="N1074" s="44" t="str">
        <f>IF(COUNTA(B1074)&gt;0,C5,"")</f>
        <v/>
      </c>
      <c r="AO1074" t="str">
        <f t="shared" si="17"/>
        <v/>
      </c>
    </row>
    <row r="1075" spans="1:41" x14ac:dyDescent="0.2">
      <c r="A1075" s="44" t="str">
        <f>IF(COUNTA(B1075)&gt;0,1067,"")</f>
        <v/>
      </c>
      <c r="G1075" s="25" t="str">
        <f t="shared" si="0"/>
        <v/>
      </c>
      <c r="N1075" s="44" t="str">
        <f>IF(COUNTA(B1075)&gt;0,C5,"")</f>
        <v/>
      </c>
      <c r="AO1075" t="str">
        <f t="shared" si="17"/>
        <v/>
      </c>
    </row>
    <row r="1076" spans="1:41" x14ac:dyDescent="0.2">
      <c r="A1076" s="44" t="str">
        <f>IF(COUNTA(B1076)&gt;0,1068,"")</f>
        <v/>
      </c>
      <c r="G1076" s="25" t="str">
        <f t="shared" si="0"/>
        <v/>
      </c>
      <c r="N1076" s="44" t="str">
        <f>IF(COUNTA(B1076)&gt;0,C5,"")</f>
        <v/>
      </c>
      <c r="AO1076" t="str">
        <f t="shared" si="17"/>
        <v/>
      </c>
    </row>
    <row r="1077" spans="1:41" x14ac:dyDescent="0.2">
      <c r="A1077" s="44" t="str">
        <f>IF(COUNTA(B1077)&gt;0,1069,"")</f>
        <v/>
      </c>
      <c r="G1077" s="25" t="str">
        <f t="shared" si="0"/>
        <v/>
      </c>
      <c r="N1077" s="44" t="str">
        <f>IF(COUNTA(B1077)&gt;0,C5,"")</f>
        <v/>
      </c>
      <c r="AO1077" t="str">
        <f t="shared" si="17"/>
        <v/>
      </c>
    </row>
    <row r="1078" spans="1:41" x14ac:dyDescent="0.2">
      <c r="A1078" s="44" t="str">
        <f>IF(COUNTA(B1078)&gt;0,1070,"")</f>
        <v/>
      </c>
      <c r="G1078" s="25" t="str">
        <f t="shared" si="0"/>
        <v/>
      </c>
      <c r="N1078" s="44" t="str">
        <f>IF(COUNTA(B1078)&gt;0,C5,"")</f>
        <v/>
      </c>
      <c r="AO1078" t="str">
        <f t="shared" si="17"/>
        <v/>
      </c>
    </row>
    <row r="1079" spans="1:41" x14ac:dyDescent="0.2">
      <c r="A1079" s="44" t="str">
        <f>IF(COUNTA(B1079)&gt;0,1071,"")</f>
        <v/>
      </c>
      <c r="G1079" s="25" t="str">
        <f t="shared" si="0"/>
        <v/>
      </c>
      <c r="N1079" s="44" t="str">
        <f>IF(COUNTA(B1079)&gt;0,C5,"")</f>
        <v/>
      </c>
      <c r="AO1079" t="str">
        <f t="shared" si="17"/>
        <v/>
      </c>
    </row>
    <row r="1080" spans="1:41" x14ac:dyDescent="0.2">
      <c r="A1080" s="44" t="str">
        <f>IF(COUNTA(B1080)&gt;0,1072,"")</f>
        <v/>
      </c>
      <c r="G1080" s="25" t="str">
        <f t="shared" si="0"/>
        <v/>
      </c>
      <c r="N1080" s="44" t="str">
        <f>IF(COUNTA(B1080)&gt;0,C5,"")</f>
        <v/>
      </c>
      <c r="AO1080" t="str">
        <f t="shared" si="17"/>
        <v/>
      </c>
    </row>
    <row r="1081" spans="1:41" x14ac:dyDescent="0.2">
      <c r="A1081" s="44" t="str">
        <f>IF(COUNTA(B1081)&gt;0,1073,"")</f>
        <v/>
      </c>
      <c r="G1081" s="25" t="str">
        <f t="shared" si="0"/>
        <v/>
      </c>
      <c r="N1081" s="44" t="str">
        <f>IF(COUNTA(B1081)&gt;0,C5,"")</f>
        <v/>
      </c>
      <c r="AO1081" t="str">
        <f t="shared" si="17"/>
        <v/>
      </c>
    </row>
    <row r="1082" spans="1:41" x14ac:dyDescent="0.2">
      <c r="A1082" s="44" t="str">
        <f>IF(COUNTA(B1082)&gt;0,1074,"")</f>
        <v/>
      </c>
      <c r="G1082" s="25" t="str">
        <f t="shared" si="0"/>
        <v/>
      </c>
      <c r="N1082" s="44" t="str">
        <f>IF(COUNTA(B1082)&gt;0,C5,"")</f>
        <v/>
      </c>
      <c r="AO1082" t="str">
        <f t="shared" si="17"/>
        <v/>
      </c>
    </row>
    <row r="1083" spans="1:41" x14ac:dyDescent="0.2">
      <c r="A1083" s="44" t="str">
        <f>IF(COUNTA(B1083)&gt;0,1075,"")</f>
        <v/>
      </c>
      <c r="G1083" s="25" t="str">
        <f t="shared" si="0"/>
        <v/>
      </c>
      <c r="N1083" s="44" t="str">
        <f>IF(COUNTA(B1083)&gt;0,C5,"")</f>
        <v/>
      </c>
      <c r="AO1083" t="str">
        <f t="shared" si="17"/>
        <v/>
      </c>
    </row>
    <row r="1084" spans="1:41" x14ac:dyDescent="0.2">
      <c r="A1084" s="44" t="str">
        <f>IF(COUNTA(B1084)&gt;0,1076,"")</f>
        <v/>
      </c>
      <c r="G1084" s="25" t="str">
        <f t="shared" si="0"/>
        <v/>
      </c>
      <c r="N1084" s="44" t="str">
        <f>IF(COUNTA(B1084)&gt;0,C5,"")</f>
        <v/>
      </c>
      <c r="AO1084" t="str">
        <f t="shared" si="17"/>
        <v/>
      </c>
    </row>
    <row r="1085" spans="1:41" x14ac:dyDescent="0.2">
      <c r="A1085" s="44" t="str">
        <f>IF(COUNTA(B1085)&gt;0,1077,"")</f>
        <v/>
      </c>
      <c r="G1085" s="25" t="str">
        <f t="shared" si="0"/>
        <v/>
      </c>
      <c r="N1085" s="44" t="str">
        <f>IF(COUNTA(B1085)&gt;0,C5,"")</f>
        <v/>
      </c>
      <c r="AO1085" t="str">
        <f t="shared" si="17"/>
        <v/>
      </c>
    </row>
    <row r="1086" spans="1:41" x14ac:dyDescent="0.2">
      <c r="A1086" s="44" t="str">
        <f>IF(COUNTA(B1086)&gt;0,1078,"")</f>
        <v/>
      </c>
      <c r="G1086" s="25" t="str">
        <f t="shared" si="0"/>
        <v/>
      </c>
      <c r="N1086" s="44" t="str">
        <f>IF(COUNTA(B1086)&gt;0,C5,"")</f>
        <v/>
      </c>
      <c r="AO1086" t="str">
        <f t="shared" si="17"/>
        <v/>
      </c>
    </row>
    <row r="1087" spans="1:41" x14ac:dyDescent="0.2">
      <c r="A1087" s="44" t="str">
        <f>IF(COUNTA(B1087)&gt;0,1079,"")</f>
        <v/>
      </c>
      <c r="G1087" s="25" t="str">
        <f t="shared" si="0"/>
        <v/>
      </c>
      <c r="N1087" s="44" t="str">
        <f>IF(COUNTA(B1087)&gt;0,C5,"")</f>
        <v/>
      </c>
      <c r="AO1087" t="str">
        <f t="shared" si="17"/>
        <v/>
      </c>
    </row>
    <row r="1088" spans="1:41" x14ac:dyDescent="0.2">
      <c r="A1088" s="44" t="str">
        <f>IF(COUNTA(B1088)&gt;0,1080,"")</f>
        <v/>
      </c>
      <c r="G1088" s="25" t="str">
        <f t="shared" si="0"/>
        <v/>
      </c>
      <c r="N1088" s="44" t="str">
        <f>IF(COUNTA(B1088)&gt;0,C5,"")</f>
        <v/>
      </c>
      <c r="AO1088" t="str">
        <f t="shared" si="17"/>
        <v/>
      </c>
    </row>
    <row r="1089" spans="1:41" x14ac:dyDescent="0.2">
      <c r="A1089" s="44" t="str">
        <f>IF(COUNTA(B1089)&gt;0,1081,"")</f>
        <v/>
      </c>
      <c r="G1089" s="25" t="str">
        <f t="shared" si="0"/>
        <v/>
      </c>
      <c r="N1089" s="44" t="str">
        <f>IF(COUNTA(B1089)&gt;0,C5,"")</f>
        <v/>
      </c>
      <c r="AO1089" t="str">
        <f t="shared" si="17"/>
        <v/>
      </c>
    </row>
    <row r="1090" spans="1:41" x14ac:dyDescent="0.2">
      <c r="A1090" s="44" t="str">
        <f>IF(COUNTA(B1090)&gt;0,1082,"")</f>
        <v/>
      </c>
      <c r="G1090" s="25" t="str">
        <f t="shared" si="0"/>
        <v/>
      </c>
      <c r="N1090" s="44" t="str">
        <f>IF(COUNTA(B1090)&gt;0,C5,"")</f>
        <v/>
      </c>
      <c r="AO1090" t="str">
        <f t="shared" si="17"/>
        <v/>
      </c>
    </row>
    <row r="1091" spans="1:41" x14ac:dyDescent="0.2">
      <c r="A1091" s="44" t="str">
        <f>IF(COUNTA(B1091)&gt;0,1083,"")</f>
        <v/>
      </c>
      <c r="G1091" s="25" t="str">
        <f t="shared" si="0"/>
        <v/>
      </c>
      <c r="N1091" s="44" t="str">
        <f>IF(COUNTA(B1091)&gt;0,C5,"")</f>
        <v/>
      </c>
      <c r="AO1091" t="str">
        <f t="shared" si="17"/>
        <v/>
      </c>
    </row>
    <row r="1092" spans="1:41" x14ac:dyDescent="0.2">
      <c r="A1092" s="44" t="str">
        <f>IF(COUNTA(B1092)&gt;0,1084,"")</f>
        <v/>
      </c>
      <c r="G1092" s="25" t="str">
        <f t="shared" si="0"/>
        <v/>
      </c>
      <c r="N1092" s="44" t="str">
        <f>IF(COUNTA(B1092)&gt;0,C5,"")</f>
        <v/>
      </c>
      <c r="AO1092" t="str">
        <f t="shared" si="17"/>
        <v/>
      </c>
    </row>
    <row r="1093" spans="1:41" x14ac:dyDescent="0.2">
      <c r="A1093" s="44" t="str">
        <f>IF(COUNTA(B1093)&gt;0,1085,"")</f>
        <v/>
      </c>
      <c r="G1093" s="25" t="str">
        <f t="shared" si="0"/>
        <v/>
      </c>
      <c r="N1093" s="44" t="str">
        <f>IF(COUNTA(B1093)&gt;0,C5,"")</f>
        <v/>
      </c>
      <c r="AO1093" t="str">
        <f t="shared" si="17"/>
        <v/>
      </c>
    </row>
    <row r="1094" spans="1:41" x14ac:dyDescent="0.2">
      <c r="A1094" s="44" t="str">
        <f>IF(COUNTA(B1094)&gt;0,1086,"")</f>
        <v/>
      </c>
      <c r="G1094" s="25" t="str">
        <f t="shared" si="0"/>
        <v/>
      </c>
      <c r="N1094" s="44" t="str">
        <f>IF(COUNTA(B1094)&gt;0,C5,"")</f>
        <v/>
      </c>
      <c r="AO1094" t="str">
        <f t="shared" si="17"/>
        <v/>
      </c>
    </row>
    <row r="1095" spans="1:41" x14ac:dyDescent="0.2">
      <c r="A1095" s="44" t="str">
        <f>IF(COUNTA(B1095)&gt;0,1087,"")</f>
        <v/>
      </c>
      <c r="G1095" s="25" t="str">
        <f t="shared" si="0"/>
        <v/>
      </c>
      <c r="N1095" s="44" t="str">
        <f>IF(COUNTA(B1095)&gt;0,C5,"")</f>
        <v/>
      </c>
      <c r="AO1095" t="str">
        <f t="shared" si="17"/>
        <v/>
      </c>
    </row>
    <row r="1096" spans="1:41" x14ac:dyDescent="0.2">
      <c r="A1096" s="44" t="str">
        <f>IF(COUNTA(B1096)&gt;0,1088,"")</f>
        <v/>
      </c>
      <c r="G1096" s="25" t="str">
        <f t="shared" si="0"/>
        <v/>
      </c>
      <c r="N1096" s="44" t="str">
        <f>IF(COUNTA(B1096)&gt;0,C5,"")</f>
        <v/>
      </c>
      <c r="AO1096" t="str">
        <f t="shared" si="17"/>
        <v/>
      </c>
    </row>
    <row r="1097" spans="1:41" x14ac:dyDescent="0.2">
      <c r="A1097" s="44" t="str">
        <f>IF(COUNTA(B1097)&gt;0,1089,"")</f>
        <v/>
      </c>
      <c r="G1097" s="25" t="str">
        <f t="shared" si="0"/>
        <v/>
      </c>
      <c r="N1097" s="44" t="str">
        <f>IF(COUNTA(B1097)&gt;0,C5,"")</f>
        <v/>
      </c>
      <c r="AO1097" t="str">
        <f t="shared" ref="AO1097:AO1160" si="18">IF(COUNTA(L1097:M1097)&lt;&gt;0,"Có",IF(COUNTA(B1097)&gt;0,"Không",""))</f>
        <v/>
      </c>
    </row>
    <row r="1098" spans="1:41" x14ac:dyDescent="0.2">
      <c r="A1098" s="44" t="str">
        <f>IF(COUNTA(B1098)&gt;0,1090,"")</f>
        <v/>
      </c>
      <c r="G1098" s="25" t="str">
        <f t="shared" si="0"/>
        <v/>
      </c>
      <c r="N1098" s="44" t="str">
        <f>IF(COUNTA(B1098)&gt;0,C5,"")</f>
        <v/>
      </c>
      <c r="AO1098" t="str">
        <f t="shared" si="18"/>
        <v/>
      </c>
    </row>
    <row r="1099" spans="1:41" x14ac:dyDescent="0.2">
      <c r="A1099" s="44" t="str">
        <f>IF(COUNTA(B1099)&gt;0,1091,"")</f>
        <v/>
      </c>
      <c r="G1099" s="25" t="str">
        <f t="shared" si="0"/>
        <v/>
      </c>
      <c r="N1099" s="44" t="str">
        <f>IF(COUNTA(B1099)&gt;0,C5,"")</f>
        <v/>
      </c>
      <c r="AO1099" t="str">
        <f t="shared" si="18"/>
        <v/>
      </c>
    </row>
    <row r="1100" spans="1:41" x14ac:dyDescent="0.2">
      <c r="A1100" s="44" t="str">
        <f>IF(COUNTA(B1100)&gt;0,1092,"")</f>
        <v/>
      </c>
      <c r="G1100" s="25" t="str">
        <f t="shared" si="0"/>
        <v/>
      </c>
      <c r="N1100" s="44" t="str">
        <f>IF(COUNTA(B1100)&gt;0,C5,"")</f>
        <v/>
      </c>
      <c r="AO1100" t="str">
        <f t="shared" si="18"/>
        <v/>
      </c>
    </row>
    <row r="1101" spans="1:41" x14ac:dyDescent="0.2">
      <c r="A1101" s="44" t="str">
        <f>IF(COUNTA(B1101)&gt;0,1093,"")</f>
        <v/>
      </c>
      <c r="G1101" s="25" t="str">
        <f t="shared" si="0"/>
        <v/>
      </c>
      <c r="N1101" s="44" t="str">
        <f>IF(COUNTA(B1101)&gt;0,C5,"")</f>
        <v/>
      </c>
      <c r="AO1101" t="str">
        <f t="shared" si="18"/>
        <v/>
      </c>
    </row>
    <row r="1102" spans="1:41" x14ac:dyDescent="0.2">
      <c r="A1102" s="44" t="str">
        <f>IF(COUNTA(B1102)&gt;0,1094,"")</f>
        <v/>
      </c>
      <c r="G1102" s="25" t="str">
        <f t="shared" si="0"/>
        <v/>
      </c>
      <c r="N1102" s="44" t="str">
        <f>IF(COUNTA(B1102)&gt;0,C5,"")</f>
        <v/>
      </c>
      <c r="AO1102" t="str">
        <f t="shared" si="18"/>
        <v/>
      </c>
    </row>
    <row r="1103" spans="1:41" x14ac:dyDescent="0.2">
      <c r="A1103" s="44" t="str">
        <f>IF(COUNTA(B1103)&gt;0,1095,"")</f>
        <v/>
      </c>
      <c r="G1103" s="25" t="str">
        <f t="shared" si="0"/>
        <v/>
      </c>
      <c r="N1103" s="44" t="str">
        <f>IF(COUNTA(B1103)&gt;0,C5,"")</f>
        <v/>
      </c>
      <c r="AO1103" t="str">
        <f t="shared" si="18"/>
        <v/>
      </c>
    </row>
    <row r="1104" spans="1:41" x14ac:dyDescent="0.2">
      <c r="A1104" s="44" t="str">
        <f>IF(COUNTA(B1104)&gt;0,1096,"")</f>
        <v/>
      </c>
      <c r="G1104" s="25" t="str">
        <f t="shared" si="0"/>
        <v/>
      </c>
      <c r="N1104" s="44" t="str">
        <f>IF(COUNTA(B1104)&gt;0,C5,"")</f>
        <v/>
      </c>
      <c r="AO1104" t="str">
        <f t="shared" si="18"/>
        <v/>
      </c>
    </row>
    <row r="1105" spans="1:41" x14ac:dyDescent="0.2">
      <c r="A1105" s="44" t="str">
        <f>IF(COUNTA(B1105)&gt;0,1097,"")</f>
        <v/>
      </c>
      <c r="G1105" s="25" t="str">
        <f t="shared" si="0"/>
        <v/>
      </c>
      <c r="N1105" s="44" t="str">
        <f>IF(COUNTA(B1105)&gt;0,C5,"")</f>
        <v/>
      </c>
      <c r="AO1105" t="str">
        <f t="shared" si="18"/>
        <v/>
      </c>
    </row>
    <row r="1106" spans="1:41" x14ac:dyDescent="0.2">
      <c r="A1106" s="44" t="str">
        <f>IF(COUNTA(B1106)&gt;0,1098,"")</f>
        <v/>
      </c>
      <c r="G1106" s="25" t="str">
        <f t="shared" si="0"/>
        <v/>
      </c>
      <c r="N1106" s="44" t="str">
        <f>IF(COUNTA(B1106)&gt;0,C5,"")</f>
        <v/>
      </c>
      <c r="AO1106" t="str">
        <f t="shared" si="18"/>
        <v/>
      </c>
    </row>
    <row r="1107" spans="1:41" x14ac:dyDescent="0.2">
      <c r="A1107" s="44" t="str">
        <f>IF(COUNTA(B1107)&gt;0,1099,"")</f>
        <v/>
      </c>
      <c r="G1107" s="25" t="str">
        <f t="shared" si="0"/>
        <v/>
      </c>
      <c r="N1107" s="44" t="str">
        <f>IF(COUNTA(B1107)&gt;0,C5,"")</f>
        <v/>
      </c>
      <c r="AO1107" t="str">
        <f t="shared" si="18"/>
        <v/>
      </c>
    </row>
    <row r="1108" spans="1:41" x14ac:dyDescent="0.2">
      <c r="A1108" s="44" t="str">
        <f>IF(COUNTA(B1108)&gt;0,1100,"")</f>
        <v/>
      </c>
      <c r="G1108" s="25" t="str">
        <f t="shared" si="0"/>
        <v/>
      </c>
      <c r="N1108" s="44" t="str">
        <f>IF(COUNTA(B1108)&gt;0,C5,"")</f>
        <v/>
      </c>
      <c r="AO1108" t="str">
        <f t="shared" si="18"/>
        <v/>
      </c>
    </row>
    <row r="1109" spans="1:41" x14ac:dyDescent="0.2">
      <c r="A1109" s="44" t="str">
        <f>IF(COUNTA(B1109)&gt;0,1101,"")</f>
        <v/>
      </c>
      <c r="G1109" s="25" t="str">
        <f t="shared" si="0"/>
        <v/>
      </c>
      <c r="N1109" s="44" t="str">
        <f>IF(COUNTA(B1109)&gt;0,C5,"")</f>
        <v/>
      </c>
      <c r="AO1109" t="str">
        <f t="shared" si="18"/>
        <v/>
      </c>
    </row>
    <row r="1110" spans="1:41" x14ac:dyDescent="0.2">
      <c r="A1110" s="44" t="str">
        <f>IF(COUNTA(B1110)&gt;0,1102,"")</f>
        <v/>
      </c>
      <c r="G1110" s="25" t="str">
        <f t="shared" si="0"/>
        <v/>
      </c>
      <c r="N1110" s="44" t="str">
        <f>IF(COUNTA(B1110)&gt;0,C5,"")</f>
        <v/>
      </c>
      <c r="AO1110" t="str">
        <f t="shared" si="18"/>
        <v/>
      </c>
    </row>
    <row r="1111" spans="1:41" x14ac:dyDescent="0.2">
      <c r="A1111" s="44" t="str">
        <f>IF(COUNTA(B1111)&gt;0,1103,"")</f>
        <v/>
      </c>
      <c r="G1111" s="25" t="str">
        <f t="shared" si="0"/>
        <v/>
      </c>
      <c r="N1111" s="44" t="str">
        <f>IF(COUNTA(B1111)&gt;0,C5,"")</f>
        <v/>
      </c>
      <c r="AO1111" t="str">
        <f t="shared" si="18"/>
        <v/>
      </c>
    </row>
    <row r="1112" spans="1:41" x14ac:dyDescent="0.2">
      <c r="A1112" s="44" t="str">
        <f>IF(COUNTA(B1112)&gt;0,1104,"")</f>
        <v/>
      </c>
      <c r="G1112" s="25" t="str">
        <f t="shared" si="0"/>
        <v/>
      </c>
      <c r="N1112" s="44" t="str">
        <f>IF(COUNTA(B1112)&gt;0,C5,"")</f>
        <v/>
      </c>
      <c r="AO1112" t="str">
        <f t="shared" si="18"/>
        <v/>
      </c>
    </row>
    <row r="1113" spans="1:41" x14ac:dyDescent="0.2">
      <c r="A1113" s="44" t="str">
        <f>IF(COUNTA(B1113)&gt;0,1105,"")</f>
        <v/>
      </c>
      <c r="G1113" s="25" t="str">
        <f t="shared" si="0"/>
        <v/>
      </c>
      <c r="N1113" s="44" t="str">
        <f>IF(COUNTA(B1113)&gt;0,C5,"")</f>
        <v/>
      </c>
      <c r="AO1113" t="str">
        <f t="shared" si="18"/>
        <v/>
      </c>
    </row>
    <row r="1114" spans="1:41" x14ac:dyDescent="0.2">
      <c r="A1114" s="44" t="str">
        <f>IF(COUNTA(B1114)&gt;0,1106,"")</f>
        <v/>
      </c>
      <c r="G1114" s="25" t="str">
        <f t="shared" si="0"/>
        <v/>
      </c>
      <c r="N1114" s="44" t="str">
        <f>IF(COUNTA(B1114)&gt;0,C5,"")</f>
        <v/>
      </c>
      <c r="AO1114" t="str">
        <f t="shared" si="18"/>
        <v/>
      </c>
    </row>
    <row r="1115" spans="1:41" x14ac:dyDescent="0.2">
      <c r="A1115" s="44" t="str">
        <f>IF(COUNTA(B1115)&gt;0,1107,"")</f>
        <v/>
      </c>
      <c r="G1115" s="25" t="str">
        <f t="shared" si="0"/>
        <v/>
      </c>
      <c r="N1115" s="44" t="str">
        <f>IF(COUNTA(B1115)&gt;0,C5,"")</f>
        <v/>
      </c>
      <c r="AO1115" t="str">
        <f t="shared" si="18"/>
        <v/>
      </c>
    </row>
    <row r="1116" spans="1:41" x14ac:dyDescent="0.2">
      <c r="A1116" s="44" t="str">
        <f>IF(COUNTA(B1116)&gt;0,1108,"")</f>
        <v/>
      </c>
      <c r="G1116" s="25" t="str">
        <f t="shared" si="0"/>
        <v/>
      </c>
      <c r="N1116" s="44" t="str">
        <f>IF(COUNTA(B1116)&gt;0,C5,"")</f>
        <v/>
      </c>
      <c r="AO1116" t="str">
        <f t="shared" si="18"/>
        <v/>
      </c>
    </row>
    <row r="1117" spans="1:41" x14ac:dyDescent="0.2">
      <c r="A1117" s="44" t="str">
        <f>IF(COUNTA(B1117)&gt;0,1109,"")</f>
        <v/>
      </c>
      <c r="G1117" s="25" t="str">
        <f t="shared" si="0"/>
        <v/>
      </c>
      <c r="N1117" s="44" t="str">
        <f>IF(COUNTA(B1117)&gt;0,C5,"")</f>
        <v/>
      </c>
      <c r="AO1117" t="str">
        <f t="shared" si="18"/>
        <v/>
      </c>
    </row>
    <row r="1118" spans="1:41" x14ac:dyDescent="0.2">
      <c r="A1118" s="44" t="str">
        <f>IF(COUNTA(B1118)&gt;0,1110,"")</f>
        <v/>
      </c>
      <c r="G1118" s="25" t="str">
        <f t="shared" si="0"/>
        <v/>
      </c>
      <c r="N1118" s="44" t="str">
        <f>IF(COUNTA(B1118)&gt;0,C5,"")</f>
        <v/>
      </c>
      <c r="AO1118" t="str">
        <f t="shared" si="18"/>
        <v/>
      </c>
    </row>
    <row r="1119" spans="1:41" x14ac:dyDescent="0.2">
      <c r="A1119" s="44" t="str">
        <f>IF(COUNTA(B1119)&gt;0,1111,"")</f>
        <v/>
      </c>
      <c r="G1119" s="25" t="str">
        <f t="shared" si="0"/>
        <v/>
      </c>
      <c r="N1119" s="44" t="str">
        <f>IF(COUNTA(B1119)&gt;0,C5,"")</f>
        <v/>
      </c>
      <c r="AO1119" t="str">
        <f t="shared" si="18"/>
        <v/>
      </c>
    </row>
    <row r="1120" spans="1:41" x14ac:dyDescent="0.2">
      <c r="A1120" s="44" t="str">
        <f>IF(COUNTA(B1120)&gt;0,1112,"")</f>
        <v/>
      </c>
      <c r="G1120" s="25" t="str">
        <f t="shared" si="0"/>
        <v/>
      </c>
      <c r="N1120" s="44" t="str">
        <f>IF(COUNTA(B1120)&gt;0,C5,"")</f>
        <v/>
      </c>
      <c r="AO1120" t="str">
        <f t="shared" si="18"/>
        <v/>
      </c>
    </row>
    <row r="1121" spans="1:41" x14ac:dyDescent="0.2">
      <c r="A1121" s="44" t="str">
        <f>IF(COUNTA(B1121)&gt;0,1113,"")</f>
        <v/>
      </c>
      <c r="G1121" s="25" t="str">
        <f t="shared" si="0"/>
        <v/>
      </c>
      <c r="N1121" s="44" t="str">
        <f>IF(COUNTA(B1121)&gt;0,C5,"")</f>
        <v/>
      </c>
      <c r="AO1121" t="str">
        <f t="shared" si="18"/>
        <v/>
      </c>
    </row>
    <row r="1122" spans="1:41" x14ac:dyDescent="0.2">
      <c r="A1122" s="44" t="str">
        <f>IF(COUNTA(B1122)&gt;0,1114,"")</f>
        <v/>
      </c>
      <c r="G1122" s="25" t="str">
        <f t="shared" si="0"/>
        <v/>
      </c>
      <c r="N1122" s="44" t="str">
        <f>IF(COUNTA(B1122)&gt;0,C5,"")</f>
        <v/>
      </c>
      <c r="AO1122" t="str">
        <f t="shared" si="18"/>
        <v/>
      </c>
    </row>
    <row r="1123" spans="1:41" x14ac:dyDescent="0.2">
      <c r="A1123" s="44" t="str">
        <f>IF(COUNTA(B1123)&gt;0,1115,"")</f>
        <v/>
      </c>
      <c r="G1123" s="25" t="str">
        <f t="shared" si="0"/>
        <v/>
      </c>
      <c r="N1123" s="44" t="str">
        <f>IF(COUNTA(B1123)&gt;0,C5,"")</f>
        <v/>
      </c>
      <c r="AO1123" t="str">
        <f t="shared" si="18"/>
        <v/>
      </c>
    </row>
    <row r="1124" spans="1:41" x14ac:dyDescent="0.2">
      <c r="A1124" s="44" t="str">
        <f>IF(COUNTA(B1124)&gt;0,1116,"")</f>
        <v/>
      </c>
      <c r="G1124" s="25" t="str">
        <f t="shared" si="0"/>
        <v/>
      </c>
      <c r="N1124" s="44" t="str">
        <f>IF(COUNTA(B1124)&gt;0,C5,"")</f>
        <v/>
      </c>
      <c r="AO1124" t="str">
        <f t="shared" si="18"/>
        <v/>
      </c>
    </row>
    <row r="1125" spans="1:41" x14ac:dyDescent="0.2">
      <c r="A1125" s="44" t="str">
        <f>IF(COUNTA(B1125)&gt;0,1117,"")</f>
        <v/>
      </c>
      <c r="G1125" s="25" t="str">
        <f t="shared" si="0"/>
        <v/>
      </c>
      <c r="N1125" s="44" t="str">
        <f>IF(COUNTA(B1125)&gt;0,C5,"")</f>
        <v/>
      </c>
      <c r="AO1125" t="str">
        <f t="shared" si="18"/>
        <v/>
      </c>
    </row>
    <row r="1126" spans="1:41" x14ac:dyDescent="0.2">
      <c r="A1126" s="44" t="str">
        <f>IF(COUNTA(B1126)&gt;0,1118,"")</f>
        <v/>
      </c>
      <c r="G1126" s="25" t="str">
        <f t="shared" si="0"/>
        <v/>
      </c>
      <c r="N1126" s="44" t="str">
        <f>IF(COUNTA(B1126)&gt;0,C5,"")</f>
        <v/>
      </c>
      <c r="AO1126" t="str">
        <f t="shared" si="18"/>
        <v/>
      </c>
    </row>
    <row r="1127" spans="1:41" x14ac:dyDescent="0.2">
      <c r="A1127" s="44" t="str">
        <f>IF(COUNTA(B1127)&gt;0,1119,"")</f>
        <v/>
      </c>
      <c r="G1127" s="25" t="str">
        <f t="shared" si="0"/>
        <v/>
      </c>
      <c r="N1127" s="44" t="str">
        <f>IF(COUNTA(B1127)&gt;0,C5,"")</f>
        <v/>
      </c>
      <c r="AO1127" t="str">
        <f t="shared" si="18"/>
        <v/>
      </c>
    </row>
    <row r="1128" spans="1:41" x14ac:dyDescent="0.2">
      <c r="A1128" s="44" t="str">
        <f>IF(COUNTA(B1128)&gt;0,1120,"")</f>
        <v/>
      </c>
      <c r="G1128" s="25" t="str">
        <f t="shared" si="0"/>
        <v/>
      </c>
      <c r="N1128" s="44" t="str">
        <f>IF(COUNTA(B1128)&gt;0,C5,"")</f>
        <v/>
      </c>
      <c r="AO1128" t="str">
        <f t="shared" si="18"/>
        <v/>
      </c>
    </row>
    <row r="1129" spans="1:41" x14ac:dyDescent="0.2">
      <c r="A1129" s="44" t="str">
        <f>IF(COUNTA(B1129)&gt;0,1121,"")</f>
        <v/>
      </c>
      <c r="G1129" s="25" t="str">
        <f t="shared" si="0"/>
        <v/>
      </c>
      <c r="N1129" s="44" t="str">
        <f>IF(COUNTA(B1129)&gt;0,C5,"")</f>
        <v/>
      </c>
      <c r="AO1129" t="str">
        <f t="shared" si="18"/>
        <v/>
      </c>
    </row>
    <row r="1130" spans="1:41" x14ac:dyDescent="0.2">
      <c r="A1130" s="44" t="str">
        <f>IF(COUNTA(B1130)&gt;0,1122,"")</f>
        <v/>
      </c>
      <c r="G1130" s="25" t="str">
        <f t="shared" si="0"/>
        <v/>
      </c>
      <c r="N1130" s="44" t="str">
        <f>IF(COUNTA(B1130)&gt;0,C5,"")</f>
        <v/>
      </c>
      <c r="AO1130" t="str">
        <f t="shared" si="18"/>
        <v/>
      </c>
    </row>
    <row r="1131" spans="1:41" x14ac:dyDescent="0.2">
      <c r="A1131" s="44" t="str">
        <f>IF(COUNTA(B1131)&gt;0,1123,"")</f>
        <v/>
      </c>
      <c r="G1131" s="25" t="str">
        <f t="shared" si="0"/>
        <v/>
      </c>
      <c r="N1131" s="44" t="str">
        <f>IF(COUNTA(B1131)&gt;0,C5,"")</f>
        <v/>
      </c>
      <c r="AO1131" t="str">
        <f t="shared" si="18"/>
        <v/>
      </c>
    </row>
    <row r="1132" spans="1:41" x14ac:dyDescent="0.2">
      <c r="A1132" s="44" t="str">
        <f>IF(COUNTA(B1132)&gt;0,1124,"")</f>
        <v/>
      </c>
      <c r="G1132" s="25" t="str">
        <f t="shared" si="0"/>
        <v/>
      </c>
      <c r="N1132" s="44" t="str">
        <f>IF(COUNTA(B1132)&gt;0,C5,"")</f>
        <v/>
      </c>
      <c r="AO1132" t="str">
        <f t="shared" si="18"/>
        <v/>
      </c>
    </row>
    <row r="1133" spans="1:41" x14ac:dyDescent="0.2">
      <c r="A1133" s="44" t="str">
        <f>IF(COUNTA(B1133)&gt;0,1125,"")</f>
        <v/>
      </c>
      <c r="G1133" s="25" t="str">
        <f t="shared" si="0"/>
        <v/>
      </c>
      <c r="N1133" s="44" t="str">
        <f>IF(COUNTA(B1133)&gt;0,C5,"")</f>
        <v/>
      </c>
      <c r="AO1133" t="str">
        <f t="shared" si="18"/>
        <v/>
      </c>
    </row>
    <row r="1134" spans="1:41" x14ac:dyDescent="0.2">
      <c r="A1134" s="44" t="str">
        <f>IF(COUNTA(B1134)&gt;0,1126,"")</f>
        <v/>
      </c>
      <c r="G1134" s="25" t="str">
        <f t="shared" si="0"/>
        <v/>
      </c>
      <c r="N1134" s="44" t="str">
        <f>IF(COUNTA(B1134)&gt;0,C5,"")</f>
        <v/>
      </c>
      <c r="AO1134" t="str">
        <f t="shared" si="18"/>
        <v/>
      </c>
    </row>
    <row r="1135" spans="1:41" x14ac:dyDescent="0.2">
      <c r="A1135" s="44" t="str">
        <f>IF(COUNTA(B1135)&gt;0,1127,"")</f>
        <v/>
      </c>
      <c r="G1135" s="25" t="str">
        <f t="shared" si="0"/>
        <v/>
      </c>
      <c r="N1135" s="44" t="str">
        <f>IF(COUNTA(B1135)&gt;0,C5,"")</f>
        <v/>
      </c>
      <c r="AO1135" t="str">
        <f t="shared" si="18"/>
        <v/>
      </c>
    </row>
    <row r="1136" spans="1:41" x14ac:dyDescent="0.2">
      <c r="A1136" s="44" t="str">
        <f>IF(COUNTA(B1136)&gt;0,1128,"")</f>
        <v/>
      </c>
      <c r="G1136" s="25" t="str">
        <f t="shared" si="0"/>
        <v/>
      </c>
      <c r="N1136" s="44" t="str">
        <f>IF(COUNTA(B1136)&gt;0,C5,"")</f>
        <v/>
      </c>
      <c r="AO1136" t="str">
        <f t="shared" si="18"/>
        <v/>
      </c>
    </row>
    <row r="1137" spans="1:41" x14ac:dyDescent="0.2">
      <c r="A1137" s="44" t="str">
        <f>IF(COUNTA(B1137)&gt;0,1129,"")</f>
        <v/>
      </c>
      <c r="G1137" s="25" t="str">
        <f t="shared" si="0"/>
        <v/>
      </c>
      <c r="N1137" s="44" t="str">
        <f>IF(COUNTA(B1137)&gt;0,C5,"")</f>
        <v/>
      </c>
      <c r="AO1137" t="str">
        <f t="shared" si="18"/>
        <v/>
      </c>
    </row>
    <row r="1138" spans="1:41" x14ac:dyDescent="0.2">
      <c r="A1138" s="44" t="str">
        <f>IF(COUNTA(B1138)&gt;0,1130,"")</f>
        <v/>
      </c>
      <c r="G1138" s="25" t="str">
        <f t="shared" si="0"/>
        <v/>
      </c>
      <c r="N1138" s="44" t="str">
        <f>IF(COUNTA(B1138)&gt;0,C5,"")</f>
        <v/>
      </c>
      <c r="AO1138" t="str">
        <f t="shared" si="18"/>
        <v/>
      </c>
    </row>
    <row r="1139" spans="1:41" x14ac:dyDescent="0.2">
      <c r="A1139" s="44" t="str">
        <f>IF(COUNTA(B1139)&gt;0,1131,"")</f>
        <v/>
      </c>
      <c r="G1139" s="25" t="str">
        <f t="shared" si="0"/>
        <v/>
      </c>
      <c r="N1139" s="44" t="str">
        <f>IF(COUNTA(B1139)&gt;0,C5,"")</f>
        <v/>
      </c>
      <c r="AO1139" t="str">
        <f t="shared" si="18"/>
        <v/>
      </c>
    </row>
    <row r="1140" spans="1:41" x14ac:dyDescent="0.2">
      <c r="A1140" s="44" t="str">
        <f>IF(COUNTA(B1140)&gt;0,1132,"")</f>
        <v/>
      </c>
      <c r="G1140" s="25" t="str">
        <f t="shared" si="0"/>
        <v/>
      </c>
      <c r="N1140" s="44" t="str">
        <f>IF(COUNTA(B1140)&gt;0,C5,"")</f>
        <v/>
      </c>
      <c r="AO1140" t="str">
        <f t="shared" si="18"/>
        <v/>
      </c>
    </row>
    <row r="1141" spans="1:41" x14ac:dyDescent="0.2">
      <c r="A1141" s="44" t="str">
        <f>IF(COUNTA(B1141)&gt;0,1133,"")</f>
        <v/>
      </c>
      <c r="G1141" s="25" t="str">
        <f t="shared" si="0"/>
        <v/>
      </c>
      <c r="N1141" s="44" t="str">
        <f>IF(COUNTA(B1141)&gt;0,C5,"")</f>
        <v/>
      </c>
      <c r="AO1141" t="str">
        <f t="shared" si="18"/>
        <v/>
      </c>
    </row>
    <row r="1142" spans="1:41" x14ac:dyDescent="0.2">
      <c r="A1142" s="44" t="str">
        <f>IF(COUNTA(B1142)&gt;0,1134,"")</f>
        <v/>
      </c>
      <c r="G1142" s="25" t="str">
        <f t="shared" si="0"/>
        <v/>
      </c>
      <c r="N1142" s="44" t="str">
        <f>IF(COUNTA(B1142)&gt;0,C5,"")</f>
        <v/>
      </c>
      <c r="AO1142" t="str">
        <f t="shared" si="18"/>
        <v/>
      </c>
    </row>
    <row r="1143" spans="1:41" x14ac:dyDescent="0.2">
      <c r="A1143" s="44" t="str">
        <f>IF(COUNTA(B1143)&gt;0,1135,"")</f>
        <v/>
      </c>
      <c r="G1143" s="25" t="str">
        <f t="shared" si="0"/>
        <v/>
      </c>
      <c r="N1143" s="44" t="str">
        <f>IF(COUNTA(B1143)&gt;0,C5,"")</f>
        <v/>
      </c>
      <c r="AO1143" t="str">
        <f t="shared" si="18"/>
        <v/>
      </c>
    </row>
    <row r="1144" spans="1:41" x14ac:dyDescent="0.2">
      <c r="A1144" s="44" t="str">
        <f>IF(COUNTA(B1144)&gt;0,1136,"")</f>
        <v/>
      </c>
      <c r="G1144" s="25" t="str">
        <f t="shared" si="0"/>
        <v/>
      </c>
      <c r="N1144" s="44" t="str">
        <f>IF(COUNTA(B1144)&gt;0,C5,"")</f>
        <v/>
      </c>
      <c r="AO1144" t="str">
        <f t="shared" si="18"/>
        <v/>
      </c>
    </row>
    <row r="1145" spans="1:41" x14ac:dyDescent="0.2">
      <c r="A1145" s="44" t="str">
        <f>IF(COUNTA(B1145)&gt;0,1137,"")</f>
        <v/>
      </c>
      <c r="G1145" s="25" t="str">
        <f t="shared" si="0"/>
        <v/>
      </c>
      <c r="N1145" s="44" t="str">
        <f>IF(COUNTA(B1145)&gt;0,C5,"")</f>
        <v/>
      </c>
      <c r="AO1145" t="str">
        <f t="shared" si="18"/>
        <v/>
      </c>
    </row>
    <row r="1146" spans="1:41" x14ac:dyDescent="0.2">
      <c r="A1146" s="44" t="str">
        <f>IF(COUNTA(B1146)&gt;0,1138,"")</f>
        <v/>
      </c>
      <c r="G1146" s="25" t="str">
        <f t="shared" si="0"/>
        <v/>
      </c>
      <c r="N1146" s="44" t="str">
        <f>IF(COUNTA(B1146)&gt;0,C5,"")</f>
        <v/>
      </c>
      <c r="AO1146" t="str">
        <f t="shared" si="18"/>
        <v/>
      </c>
    </row>
    <row r="1147" spans="1:41" x14ac:dyDescent="0.2">
      <c r="A1147" s="44" t="str">
        <f>IF(COUNTA(B1147)&gt;0,1139,"")</f>
        <v/>
      </c>
      <c r="G1147" s="25" t="str">
        <f t="shared" si="0"/>
        <v/>
      </c>
      <c r="N1147" s="44" t="str">
        <f>IF(COUNTA(B1147)&gt;0,C5,"")</f>
        <v/>
      </c>
      <c r="AO1147" t="str">
        <f t="shared" si="18"/>
        <v/>
      </c>
    </row>
    <row r="1148" spans="1:41" x14ac:dyDescent="0.2">
      <c r="A1148" s="44" t="str">
        <f>IF(COUNTA(B1148)&gt;0,1140,"")</f>
        <v/>
      </c>
      <c r="G1148" s="25" t="str">
        <f t="shared" si="0"/>
        <v/>
      </c>
      <c r="N1148" s="44" t="str">
        <f>IF(COUNTA(B1148)&gt;0,C5,"")</f>
        <v/>
      </c>
      <c r="AO1148" t="str">
        <f t="shared" si="18"/>
        <v/>
      </c>
    </row>
    <row r="1149" spans="1:41" x14ac:dyDescent="0.2">
      <c r="A1149" s="44" t="str">
        <f>IF(COUNTA(B1149)&gt;0,1141,"")</f>
        <v/>
      </c>
      <c r="G1149" s="25" t="str">
        <f t="shared" si="0"/>
        <v/>
      </c>
      <c r="N1149" s="44" t="str">
        <f>IF(COUNTA(B1149)&gt;0,C5,"")</f>
        <v/>
      </c>
      <c r="AO1149" t="str">
        <f t="shared" si="18"/>
        <v/>
      </c>
    </row>
    <row r="1150" spans="1:41" x14ac:dyDescent="0.2">
      <c r="A1150" s="44" t="str">
        <f>IF(COUNTA(B1150)&gt;0,1142,"")</f>
        <v/>
      </c>
      <c r="G1150" s="25" t="str">
        <f t="shared" si="0"/>
        <v/>
      </c>
      <c r="N1150" s="44" t="str">
        <f>IF(COUNTA(B1150)&gt;0,C5,"")</f>
        <v/>
      </c>
      <c r="AO1150" t="str">
        <f t="shared" si="18"/>
        <v/>
      </c>
    </row>
    <row r="1151" spans="1:41" x14ac:dyDescent="0.2">
      <c r="A1151" s="44" t="str">
        <f>IF(COUNTA(B1151)&gt;0,1143,"")</f>
        <v/>
      </c>
      <c r="G1151" s="25" t="str">
        <f t="shared" si="0"/>
        <v/>
      </c>
      <c r="N1151" s="44" t="str">
        <f>IF(COUNTA(B1151)&gt;0,C5,"")</f>
        <v/>
      </c>
      <c r="AO1151" t="str">
        <f t="shared" si="18"/>
        <v/>
      </c>
    </row>
    <row r="1152" spans="1:41" x14ac:dyDescent="0.2">
      <c r="A1152" s="44" t="str">
        <f>IF(COUNTA(B1152)&gt;0,1144,"")</f>
        <v/>
      </c>
      <c r="G1152" s="25" t="str">
        <f t="shared" si="0"/>
        <v/>
      </c>
      <c r="N1152" s="44" t="str">
        <f>IF(COUNTA(B1152)&gt;0,C5,"")</f>
        <v/>
      </c>
      <c r="AO1152" t="str">
        <f t="shared" si="18"/>
        <v/>
      </c>
    </row>
    <row r="1153" spans="1:41" x14ac:dyDescent="0.2">
      <c r="A1153" s="44" t="str">
        <f>IF(COUNTA(B1153)&gt;0,1145,"")</f>
        <v/>
      </c>
      <c r="G1153" s="25" t="str">
        <f t="shared" si="0"/>
        <v/>
      </c>
      <c r="N1153" s="44" t="str">
        <f>IF(COUNTA(B1153)&gt;0,C5,"")</f>
        <v/>
      </c>
      <c r="AO1153" t="str">
        <f t="shared" si="18"/>
        <v/>
      </c>
    </row>
    <row r="1154" spans="1:41" x14ac:dyDescent="0.2">
      <c r="A1154" s="44" t="str">
        <f>IF(COUNTA(B1154)&gt;0,1146,"")</f>
        <v/>
      </c>
      <c r="G1154" s="25" t="str">
        <f t="shared" si="0"/>
        <v/>
      </c>
      <c r="N1154" s="44" t="str">
        <f>IF(COUNTA(B1154)&gt;0,C5,"")</f>
        <v/>
      </c>
      <c r="AO1154" t="str">
        <f t="shared" si="18"/>
        <v/>
      </c>
    </row>
    <row r="1155" spans="1:41" x14ac:dyDescent="0.2">
      <c r="A1155" s="44" t="str">
        <f>IF(COUNTA(B1155)&gt;0,1147,"")</f>
        <v/>
      </c>
      <c r="G1155" s="25" t="str">
        <f t="shared" si="0"/>
        <v/>
      </c>
      <c r="N1155" s="44" t="str">
        <f>IF(COUNTA(B1155)&gt;0,C5,"")</f>
        <v/>
      </c>
      <c r="AO1155" t="str">
        <f t="shared" si="18"/>
        <v/>
      </c>
    </row>
    <row r="1156" spans="1:41" x14ac:dyDescent="0.2">
      <c r="A1156" s="44" t="str">
        <f>IF(COUNTA(B1156)&gt;0,1148,"")</f>
        <v/>
      </c>
      <c r="G1156" s="25" t="str">
        <f t="shared" si="0"/>
        <v/>
      </c>
      <c r="N1156" s="44" t="str">
        <f>IF(COUNTA(B1156)&gt;0,C5,"")</f>
        <v/>
      </c>
      <c r="AO1156" t="str">
        <f t="shared" si="18"/>
        <v/>
      </c>
    </row>
    <row r="1157" spans="1:41" x14ac:dyDescent="0.2">
      <c r="A1157" s="44" t="str">
        <f>IF(COUNTA(B1157)&gt;0,1149,"")</f>
        <v/>
      </c>
      <c r="G1157" s="25" t="str">
        <f t="shared" si="0"/>
        <v/>
      </c>
      <c r="N1157" s="44" t="str">
        <f>IF(COUNTA(B1157)&gt;0,C5,"")</f>
        <v/>
      </c>
      <c r="AO1157" t="str">
        <f t="shared" si="18"/>
        <v/>
      </c>
    </row>
    <row r="1158" spans="1:41" x14ac:dyDescent="0.2">
      <c r="A1158" s="44" t="str">
        <f>IF(COUNTA(B1158)&gt;0,1150,"")</f>
        <v/>
      </c>
      <c r="G1158" s="25" t="str">
        <f t="shared" si="0"/>
        <v/>
      </c>
      <c r="N1158" s="44" t="str">
        <f>IF(COUNTA(B1158)&gt;0,C5,"")</f>
        <v/>
      </c>
      <c r="AO1158" t="str">
        <f t="shared" si="18"/>
        <v/>
      </c>
    </row>
    <row r="1159" spans="1:41" x14ac:dyDescent="0.2">
      <c r="A1159" s="44" t="str">
        <f>IF(COUNTA(B1159)&gt;0,1151,"")</f>
        <v/>
      </c>
      <c r="G1159" s="25" t="str">
        <f t="shared" si="0"/>
        <v/>
      </c>
      <c r="N1159" s="44" t="str">
        <f>IF(COUNTA(B1159)&gt;0,C5,"")</f>
        <v/>
      </c>
      <c r="AO1159" t="str">
        <f t="shared" si="18"/>
        <v/>
      </c>
    </row>
    <row r="1160" spans="1:41" x14ac:dyDescent="0.2">
      <c r="A1160" s="44" t="str">
        <f>IF(COUNTA(B1160)&gt;0,1152,"")</f>
        <v/>
      </c>
      <c r="G1160" s="25" t="str">
        <f t="shared" si="0"/>
        <v/>
      </c>
      <c r="N1160" s="44" t="str">
        <f>IF(COUNTA(B1160)&gt;0,C5,"")</f>
        <v/>
      </c>
      <c r="AO1160" t="str">
        <f t="shared" si="18"/>
        <v/>
      </c>
    </row>
    <row r="1161" spans="1:41" x14ac:dyDescent="0.2">
      <c r="A1161" s="44" t="str">
        <f>IF(COUNTA(B1161)&gt;0,1153,"")</f>
        <v/>
      </c>
      <c r="G1161" s="25" t="str">
        <f t="shared" si="0"/>
        <v/>
      </c>
      <c r="N1161" s="44" t="str">
        <f>IF(COUNTA(B1161)&gt;0,C5,"")</f>
        <v/>
      </c>
      <c r="AO1161" t="str">
        <f t="shared" ref="AO1161:AO1224" si="19">IF(COUNTA(L1161:M1161)&lt;&gt;0,"Có",IF(COUNTA(B1161)&gt;0,"Không",""))</f>
        <v/>
      </c>
    </row>
    <row r="1162" spans="1:41" x14ac:dyDescent="0.2">
      <c r="A1162" s="44" t="str">
        <f>IF(COUNTA(B1162)&gt;0,1154,"")</f>
        <v/>
      </c>
      <c r="G1162" s="25" t="str">
        <f t="shared" si="0"/>
        <v/>
      </c>
      <c r="N1162" s="44" t="str">
        <f>IF(COUNTA(B1162)&gt;0,C5,"")</f>
        <v/>
      </c>
      <c r="AO1162" t="str">
        <f t="shared" si="19"/>
        <v/>
      </c>
    </row>
    <row r="1163" spans="1:41" x14ac:dyDescent="0.2">
      <c r="A1163" s="44" t="str">
        <f>IF(COUNTA(B1163)&gt;0,1155,"")</f>
        <v/>
      </c>
      <c r="G1163" s="25" t="str">
        <f t="shared" si="0"/>
        <v/>
      </c>
      <c r="N1163" s="44" t="str">
        <f>IF(COUNTA(B1163)&gt;0,C5,"")</f>
        <v/>
      </c>
      <c r="AO1163" t="str">
        <f t="shared" si="19"/>
        <v/>
      </c>
    </row>
    <row r="1164" spans="1:41" x14ac:dyDescent="0.2">
      <c r="A1164" s="44" t="str">
        <f>IF(COUNTA(B1164)&gt;0,1156,"")</f>
        <v/>
      </c>
      <c r="G1164" s="25" t="str">
        <f t="shared" si="0"/>
        <v/>
      </c>
      <c r="N1164" s="44" t="str">
        <f>IF(COUNTA(B1164)&gt;0,C5,"")</f>
        <v/>
      </c>
      <c r="AO1164" t="str">
        <f t="shared" si="19"/>
        <v/>
      </c>
    </row>
    <row r="1165" spans="1:41" x14ac:dyDescent="0.2">
      <c r="A1165" s="44" t="str">
        <f>IF(COUNTA(B1165)&gt;0,1157,"")</f>
        <v/>
      </c>
      <c r="G1165" s="25" t="str">
        <f t="shared" si="0"/>
        <v/>
      </c>
      <c r="N1165" s="44" t="str">
        <f>IF(COUNTA(B1165)&gt;0,C5,"")</f>
        <v/>
      </c>
      <c r="AO1165" t="str">
        <f t="shared" si="19"/>
        <v/>
      </c>
    </row>
    <row r="1166" spans="1:41" x14ac:dyDescent="0.2">
      <c r="A1166" s="44" t="str">
        <f>IF(COUNTA(B1166)&gt;0,1158,"")</f>
        <v/>
      </c>
      <c r="G1166" s="25" t="str">
        <f t="shared" si="0"/>
        <v/>
      </c>
      <c r="N1166" s="44" t="str">
        <f>IF(COUNTA(B1166)&gt;0,C5,"")</f>
        <v/>
      </c>
      <c r="AO1166" t="str">
        <f t="shared" si="19"/>
        <v/>
      </c>
    </row>
    <row r="1167" spans="1:41" x14ac:dyDescent="0.2">
      <c r="A1167" s="44" t="str">
        <f>IF(COUNTA(B1167)&gt;0,1159,"")</f>
        <v/>
      </c>
      <c r="G1167" s="25" t="str">
        <f t="shared" si="0"/>
        <v/>
      </c>
      <c r="N1167" s="44" t="str">
        <f>IF(COUNTA(B1167)&gt;0,C5,"")</f>
        <v/>
      </c>
      <c r="AO1167" t="str">
        <f t="shared" si="19"/>
        <v/>
      </c>
    </row>
    <row r="1168" spans="1:41" x14ac:dyDescent="0.2">
      <c r="A1168" s="44" t="str">
        <f>IF(COUNTA(B1168)&gt;0,1160,"")</f>
        <v/>
      </c>
      <c r="G1168" s="25" t="str">
        <f t="shared" si="0"/>
        <v/>
      </c>
      <c r="N1168" s="44" t="str">
        <f>IF(COUNTA(B1168)&gt;0,C5,"")</f>
        <v/>
      </c>
      <c r="AO1168" t="str">
        <f t="shared" si="19"/>
        <v/>
      </c>
    </row>
    <row r="1169" spans="1:41" x14ac:dyDescent="0.2">
      <c r="A1169" s="44" t="str">
        <f>IF(COUNTA(B1169)&gt;0,1161,"")</f>
        <v/>
      </c>
      <c r="G1169" s="25" t="str">
        <f t="shared" si="0"/>
        <v/>
      </c>
      <c r="N1169" s="44" t="str">
        <f>IF(COUNTA(B1169)&gt;0,C5,"")</f>
        <v/>
      </c>
      <c r="AO1169" t="str">
        <f t="shared" si="19"/>
        <v/>
      </c>
    </row>
    <row r="1170" spans="1:41" x14ac:dyDescent="0.2">
      <c r="A1170" s="44" t="str">
        <f>IF(COUNTA(B1170)&gt;0,1162,"")</f>
        <v/>
      </c>
      <c r="G1170" s="25" t="str">
        <f t="shared" si="0"/>
        <v/>
      </c>
      <c r="N1170" s="44" t="str">
        <f>IF(COUNTA(B1170)&gt;0,C5,"")</f>
        <v/>
      </c>
      <c r="AO1170" t="str">
        <f t="shared" si="19"/>
        <v/>
      </c>
    </row>
    <row r="1171" spans="1:41" x14ac:dyDescent="0.2">
      <c r="A1171" s="44" t="str">
        <f>IF(COUNTA(B1171)&gt;0,1163,"")</f>
        <v/>
      </c>
      <c r="G1171" s="25" t="str">
        <f t="shared" si="0"/>
        <v/>
      </c>
      <c r="N1171" s="44" t="str">
        <f>IF(COUNTA(B1171)&gt;0,C5,"")</f>
        <v/>
      </c>
      <c r="AO1171" t="str">
        <f t="shared" si="19"/>
        <v/>
      </c>
    </row>
    <row r="1172" spans="1:41" x14ac:dyDescent="0.2">
      <c r="A1172" s="44" t="str">
        <f>IF(COUNTA(B1172)&gt;0,1164,"")</f>
        <v/>
      </c>
      <c r="G1172" s="25" t="str">
        <f t="shared" si="0"/>
        <v/>
      </c>
      <c r="N1172" s="44" t="str">
        <f>IF(COUNTA(B1172)&gt;0,C5,"")</f>
        <v/>
      </c>
      <c r="AO1172" t="str">
        <f t="shared" si="19"/>
        <v/>
      </c>
    </row>
    <row r="1173" spans="1:41" x14ac:dyDescent="0.2">
      <c r="A1173" s="44" t="str">
        <f>IF(COUNTA(B1173)&gt;0,1165,"")</f>
        <v/>
      </c>
      <c r="G1173" s="25" t="str">
        <f t="shared" si="0"/>
        <v/>
      </c>
      <c r="N1173" s="44" t="str">
        <f>IF(COUNTA(B1173)&gt;0,C5,"")</f>
        <v/>
      </c>
      <c r="AO1173" t="str">
        <f t="shared" si="19"/>
        <v/>
      </c>
    </row>
    <row r="1174" spans="1:41" x14ac:dyDescent="0.2">
      <c r="A1174" s="44" t="str">
        <f>IF(COUNTA(B1174)&gt;0,1166,"")</f>
        <v/>
      </c>
      <c r="G1174" s="25" t="str">
        <f t="shared" si="0"/>
        <v/>
      </c>
      <c r="N1174" s="44" t="str">
        <f>IF(COUNTA(B1174)&gt;0,C5,"")</f>
        <v/>
      </c>
      <c r="AO1174" t="str">
        <f t="shared" si="19"/>
        <v/>
      </c>
    </row>
    <row r="1175" spans="1:41" x14ac:dyDescent="0.2">
      <c r="A1175" s="44" t="str">
        <f>IF(COUNTA(B1175)&gt;0,1167,"")</f>
        <v/>
      </c>
      <c r="G1175" s="25" t="str">
        <f t="shared" si="0"/>
        <v/>
      </c>
      <c r="N1175" s="44" t="str">
        <f>IF(COUNTA(B1175)&gt;0,C5,"")</f>
        <v/>
      </c>
      <c r="AO1175" t="str">
        <f t="shared" si="19"/>
        <v/>
      </c>
    </row>
    <row r="1176" spans="1:41" x14ac:dyDescent="0.2">
      <c r="A1176" s="44" t="str">
        <f>IF(COUNTA(B1176)&gt;0,1168,"")</f>
        <v/>
      </c>
      <c r="G1176" s="25" t="str">
        <f t="shared" si="0"/>
        <v/>
      </c>
      <c r="N1176" s="44" t="str">
        <f>IF(COUNTA(B1176)&gt;0,C5,"")</f>
        <v/>
      </c>
      <c r="AO1176" t="str">
        <f t="shared" si="19"/>
        <v/>
      </c>
    </row>
    <row r="1177" spans="1:41" x14ac:dyDescent="0.2">
      <c r="A1177" s="44" t="str">
        <f>IF(COUNTA(B1177)&gt;0,1169,"")</f>
        <v/>
      </c>
      <c r="G1177" s="25" t="str">
        <f t="shared" si="0"/>
        <v/>
      </c>
      <c r="N1177" s="44" t="str">
        <f>IF(COUNTA(B1177)&gt;0,C5,"")</f>
        <v/>
      </c>
      <c r="AO1177" t="str">
        <f t="shared" si="19"/>
        <v/>
      </c>
    </row>
    <row r="1178" spans="1:41" x14ac:dyDescent="0.2">
      <c r="A1178" s="44" t="str">
        <f>IF(COUNTA(B1178)&gt;0,1170,"")</f>
        <v/>
      </c>
      <c r="G1178" s="25" t="str">
        <f t="shared" si="0"/>
        <v/>
      </c>
      <c r="N1178" s="44" t="str">
        <f>IF(COUNTA(B1178)&gt;0,C5,"")</f>
        <v/>
      </c>
      <c r="AO1178" t="str">
        <f t="shared" si="19"/>
        <v/>
      </c>
    </row>
    <row r="1179" spans="1:41" x14ac:dyDescent="0.2">
      <c r="A1179" s="44" t="str">
        <f>IF(COUNTA(B1179)&gt;0,1171,"")</f>
        <v/>
      </c>
      <c r="G1179" s="25" t="str">
        <f t="shared" si="0"/>
        <v/>
      </c>
      <c r="N1179" s="44" t="str">
        <f>IF(COUNTA(B1179)&gt;0,C5,"")</f>
        <v/>
      </c>
      <c r="AO1179" t="str">
        <f t="shared" si="19"/>
        <v/>
      </c>
    </row>
    <row r="1180" spans="1:41" x14ac:dyDescent="0.2">
      <c r="A1180" s="44" t="str">
        <f>IF(COUNTA(B1180)&gt;0,1172,"")</f>
        <v/>
      </c>
      <c r="G1180" s="25" t="str">
        <f t="shared" si="0"/>
        <v/>
      </c>
      <c r="N1180" s="44" t="str">
        <f>IF(COUNTA(B1180)&gt;0,C5,"")</f>
        <v/>
      </c>
      <c r="AO1180" t="str">
        <f t="shared" si="19"/>
        <v/>
      </c>
    </row>
    <row r="1181" spans="1:41" x14ac:dyDescent="0.2">
      <c r="A1181" s="44" t="str">
        <f>IF(COUNTA(B1181)&gt;0,1173,"")</f>
        <v/>
      </c>
      <c r="G1181" s="25" t="str">
        <f t="shared" si="0"/>
        <v/>
      </c>
      <c r="N1181" s="44" t="str">
        <f>IF(COUNTA(B1181)&gt;0,C5,"")</f>
        <v/>
      </c>
      <c r="AO1181" t="str">
        <f t="shared" si="19"/>
        <v/>
      </c>
    </row>
    <row r="1182" spans="1:41" x14ac:dyDescent="0.2">
      <c r="A1182" s="44" t="str">
        <f>IF(COUNTA(B1182)&gt;0,1174,"")</f>
        <v/>
      </c>
      <c r="G1182" s="25" t="str">
        <f t="shared" si="0"/>
        <v/>
      </c>
      <c r="N1182" s="44" t="str">
        <f>IF(COUNTA(B1182)&gt;0,C5,"")</f>
        <v/>
      </c>
      <c r="AO1182" t="str">
        <f t="shared" si="19"/>
        <v/>
      </c>
    </row>
    <row r="1183" spans="1:41" x14ac:dyDescent="0.2">
      <c r="A1183" s="44" t="str">
        <f>IF(COUNTA(B1183)&gt;0,1175,"")</f>
        <v/>
      </c>
      <c r="G1183" s="25" t="str">
        <f t="shared" si="0"/>
        <v/>
      </c>
      <c r="N1183" s="44" t="str">
        <f>IF(COUNTA(B1183)&gt;0,C5,"")</f>
        <v/>
      </c>
      <c r="AO1183" t="str">
        <f t="shared" si="19"/>
        <v/>
      </c>
    </row>
    <row r="1184" spans="1:41" x14ac:dyDescent="0.2">
      <c r="A1184" s="44" t="str">
        <f>IF(COUNTA(B1184)&gt;0,1176,"")</f>
        <v/>
      </c>
      <c r="G1184" s="25" t="str">
        <f t="shared" si="0"/>
        <v/>
      </c>
      <c r="N1184" s="44" t="str">
        <f>IF(COUNTA(B1184)&gt;0,C5,"")</f>
        <v/>
      </c>
      <c r="AO1184" t="str">
        <f t="shared" si="19"/>
        <v/>
      </c>
    </row>
    <row r="1185" spans="1:41" x14ac:dyDescent="0.2">
      <c r="A1185" s="44" t="str">
        <f>IF(COUNTA(B1185)&gt;0,1177,"")</f>
        <v/>
      </c>
      <c r="G1185" s="25" t="str">
        <f t="shared" si="0"/>
        <v/>
      </c>
      <c r="N1185" s="44" t="str">
        <f>IF(COUNTA(B1185)&gt;0,C5,"")</f>
        <v/>
      </c>
      <c r="AO1185" t="str">
        <f t="shared" si="19"/>
        <v/>
      </c>
    </row>
    <row r="1186" spans="1:41" x14ac:dyDescent="0.2">
      <c r="A1186" s="44" t="str">
        <f>IF(COUNTA(B1186)&gt;0,1178,"")</f>
        <v/>
      </c>
      <c r="G1186" s="25" t="str">
        <f t="shared" si="0"/>
        <v/>
      </c>
      <c r="N1186" s="44" t="str">
        <f>IF(COUNTA(B1186)&gt;0,C5,"")</f>
        <v/>
      </c>
      <c r="AO1186" t="str">
        <f t="shared" si="19"/>
        <v/>
      </c>
    </row>
    <row r="1187" spans="1:41" x14ac:dyDescent="0.2">
      <c r="A1187" s="44" t="str">
        <f>IF(COUNTA(B1187)&gt;0,1179,"")</f>
        <v/>
      </c>
      <c r="G1187" s="25" t="str">
        <f t="shared" si="0"/>
        <v/>
      </c>
      <c r="N1187" s="44" t="str">
        <f>IF(COUNTA(B1187)&gt;0,C5,"")</f>
        <v/>
      </c>
      <c r="AO1187" t="str">
        <f t="shared" si="19"/>
        <v/>
      </c>
    </row>
    <row r="1188" spans="1:41" x14ac:dyDescent="0.2">
      <c r="A1188" s="44" t="str">
        <f>IF(COUNTA(B1188)&gt;0,1180,"")</f>
        <v/>
      </c>
      <c r="G1188" s="25" t="str">
        <f t="shared" si="0"/>
        <v/>
      </c>
      <c r="N1188" s="44" t="str">
        <f>IF(COUNTA(B1188)&gt;0,C5,"")</f>
        <v/>
      </c>
      <c r="AO1188" t="str">
        <f t="shared" si="19"/>
        <v/>
      </c>
    </row>
    <row r="1189" spans="1:41" x14ac:dyDescent="0.2">
      <c r="A1189" s="44" t="str">
        <f>IF(COUNTA(B1189)&gt;0,1181,"")</f>
        <v/>
      </c>
      <c r="G1189" s="25" t="str">
        <f t="shared" si="0"/>
        <v/>
      </c>
      <c r="N1189" s="44" t="str">
        <f>IF(COUNTA(B1189)&gt;0,C5,"")</f>
        <v/>
      </c>
      <c r="AO1189" t="str">
        <f t="shared" si="19"/>
        <v/>
      </c>
    </row>
    <row r="1190" spans="1:41" x14ac:dyDescent="0.2">
      <c r="A1190" s="44" t="str">
        <f>IF(COUNTA(B1190)&gt;0,1182,"")</f>
        <v/>
      </c>
      <c r="G1190" s="25" t="str">
        <f t="shared" si="0"/>
        <v/>
      </c>
      <c r="N1190" s="44" t="str">
        <f>IF(COUNTA(B1190)&gt;0,C5,"")</f>
        <v/>
      </c>
      <c r="AO1190" t="str">
        <f t="shared" si="19"/>
        <v/>
      </c>
    </row>
    <row r="1191" spans="1:41" x14ac:dyDescent="0.2">
      <c r="A1191" s="44" t="str">
        <f>IF(COUNTA(B1191)&gt;0,1183,"")</f>
        <v/>
      </c>
      <c r="G1191" s="25" t="str">
        <f t="shared" si="0"/>
        <v/>
      </c>
      <c r="N1191" s="44" t="str">
        <f>IF(COUNTA(B1191)&gt;0,C5,"")</f>
        <v/>
      </c>
      <c r="AO1191" t="str">
        <f t="shared" si="19"/>
        <v/>
      </c>
    </row>
    <row r="1192" spans="1:41" x14ac:dyDescent="0.2">
      <c r="A1192" s="44" t="str">
        <f>IF(COUNTA(B1192)&gt;0,1184,"")</f>
        <v/>
      </c>
      <c r="G1192" s="25" t="str">
        <f t="shared" si="0"/>
        <v/>
      </c>
      <c r="N1192" s="44" t="str">
        <f>IF(COUNTA(B1192)&gt;0,C5,"")</f>
        <v/>
      </c>
      <c r="AO1192" t="str">
        <f t="shared" si="19"/>
        <v/>
      </c>
    </row>
    <row r="1193" spans="1:41" x14ac:dyDescent="0.2">
      <c r="A1193" s="44" t="str">
        <f>IF(COUNTA(B1193)&gt;0,1185,"")</f>
        <v/>
      </c>
      <c r="G1193" s="25" t="str">
        <f t="shared" si="0"/>
        <v/>
      </c>
      <c r="N1193" s="44" t="str">
        <f>IF(COUNTA(B1193)&gt;0,C5,"")</f>
        <v/>
      </c>
      <c r="AO1193" t="str">
        <f t="shared" si="19"/>
        <v/>
      </c>
    </row>
    <row r="1194" spans="1:41" x14ac:dyDescent="0.2">
      <c r="A1194" s="44" t="str">
        <f>IF(COUNTA(B1194)&gt;0,1186,"")</f>
        <v/>
      </c>
      <c r="G1194" s="25" t="str">
        <f t="shared" si="0"/>
        <v/>
      </c>
      <c r="N1194" s="44" t="str">
        <f>IF(COUNTA(B1194)&gt;0,C5,"")</f>
        <v/>
      </c>
      <c r="AO1194" t="str">
        <f t="shared" si="19"/>
        <v/>
      </c>
    </row>
    <row r="1195" spans="1:41" x14ac:dyDescent="0.2">
      <c r="A1195" s="44" t="str">
        <f>IF(COUNTA(B1195)&gt;0,1187,"")</f>
        <v/>
      </c>
      <c r="G1195" s="25" t="str">
        <f t="shared" si="0"/>
        <v/>
      </c>
      <c r="N1195" s="44" t="str">
        <f>IF(COUNTA(B1195)&gt;0,C5,"")</f>
        <v/>
      </c>
      <c r="AO1195" t="str">
        <f t="shared" si="19"/>
        <v/>
      </c>
    </row>
    <row r="1196" spans="1:41" x14ac:dyDescent="0.2">
      <c r="A1196" s="44" t="str">
        <f>IF(COUNTA(B1196)&gt;0,1188,"")</f>
        <v/>
      </c>
      <c r="G1196" s="25" t="str">
        <f t="shared" si="0"/>
        <v/>
      </c>
      <c r="N1196" s="44" t="str">
        <f>IF(COUNTA(B1196)&gt;0,C5,"")</f>
        <v/>
      </c>
      <c r="AO1196" t="str">
        <f t="shared" si="19"/>
        <v/>
      </c>
    </row>
    <row r="1197" spans="1:41" x14ac:dyDescent="0.2">
      <c r="A1197" s="44" t="str">
        <f>IF(COUNTA(B1197)&gt;0,1189,"")</f>
        <v/>
      </c>
      <c r="G1197" s="25" t="str">
        <f t="shared" si="0"/>
        <v/>
      </c>
      <c r="N1197" s="44" t="str">
        <f>IF(COUNTA(B1197)&gt;0,C5,"")</f>
        <v/>
      </c>
      <c r="AO1197" t="str">
        <f t="shared" si="19"/>
        <v/>
      </c>
    </row>
    <row r="1198" spans="1:41" x14ac:dyDescent="0.2">
      <c r="A1198" s="44" t="str">
        <f>IF(COUNTA(B1198)&gt;0,1190,"")</f>
        <v/>
      </c>
      <c r="G1198" s="25" t="str">
        <f t="shared" si="0"/>
        <v/>
      </c>
      <c r="N1198" s="44" t="str">
        <f>IF(COUNTA(B1198)&gt;0,C5,"")</f>
        <v/>
      </c>
      <c r="AO1198" t="str">
        <f t="shared" si="19"/>
        <v/>
      </c>
    </row>
    <row r="1199" spans="1:41" x14ac:dyDescent="0.2">
      <c r="A1199" s="44" t="str">
        <f>IF(COUNTA(B1199)&gt;0,1191,"")</f>
        <v/>
      </c>
      <c r="G1199" s="25" t="str">
        <f t="shared" si="0"/>
        <v/>
      </c>
      <c r="N1199" s="44" t="str">
        <f>IF(COUNTA(B1199)&gt;0,C5,"")</f>
        <v/>
      </c>
      <c r="AO1199" t="str">
        <f t="shared" si="19"/>
        <v/>
      </c>
    </row>
    <row r="1200" spans="1:41" x14ac:dyDescent="0.2">
      <c r="A1200" s="44" t="str">
        <f>IF(COUNTA(B1200)&gt;0,1192,"")</f>
        <v/>
      </c>
      <c r="G1200" s="25" t="str">
        <f t="shared" si="0"/>
        <v/>
      </c>
      <c r="N1200" s="44" t="str">
        <f>IF(COUNTA(B1200)&gt;0,C5,"")</f>
        <v/>
      </c>
      <c r="AO1200" t="str">
        <f t="shared" si="19"/>
        <v/>
      </c>
    </row>
    <row r="1201" spans="1:41" x14ac:dyDescent="0.2">
      <c r="A1201" s="44" t="str">
        <f>IF(COUNTA(B1201)&gt;0,1193,"")</f>
        <v/>
      </c>
      <c r="G1201" s="25" t="str">
        <f t="shared" si="0"/>
        <v/>
      </c>
      <c r="N1201" s="44" t="str">
        <f>IF(COUNTA(B1201)&gt;0,C5,"")</f>
        <v/>
      </c>
      <c r="AO1201" t="str">
        <f t="shared" si="19"/>
        <v/>
      </c>
    </row>
    <row r="1202" spans="1:41" x14ac:dyDescent="0.2">
      <c r="A1202" s="44" t="str">
        <f>IF(COUNTA(B1202)&gt;0,1194,"")</f>
        <v/>
      </c>
      <c r="G1202" s="25" t="str">
        <f t="shared" si="0"/>
        <v/>
      </c>
      <c r="N1202" s="44" t="str">
        <f>IF(COUNTA(B1202)&gt;0,C5,"")</f>
        <v/>
      </c>
      <c r="AO1202" t="str">
        <f t="shared" si="19"/>
        <v/>
      </c>
    </row>
    <row r="1203" spans="1:41" x14ac:dyDescent="0.2">
      <c r="A1203" s="44" t="str">
        <f>IF(COUNTA(B1203)&gt;0,1195,"")</f>
        <v/>
      </c>
      <c r="G1203" s="25" t="str">
        <f t="shared" si="0"/>
        <v/>
      </c>
      <c r="N1203" s="44" t="str">
        <f>IF(COUNTA(B1203)&gt;0,C5,"")</f>
        <v/>
      </c>
      <c r="AO1203" t="str">
        <f t="shared" si="19"/>
        <v/>
      </c>
    </row>
    <row r="1204" spans="1:41" x14ac:dyDescent="0.2">
      <c r="A1204" s="44" t="str">
        <f>IF(COUNTA(B1204)&gt;0,1196,"")</f>
        <v/>
      </c>
      <c r="G1204" s="25" t="str">
        <f t="shared" si="0"/>
        <v/>
      </c>
      <c r="N1204" s="44" t="str">
        <f>IF(COUNTA(B1204)&gt;0,C5,"")</f>
        <v/>
      </c>
      <c r="AO1204" t="str">
        <f t="shared" si="19"/>
        <v/>
      </c>
    </row>
    <row r="1205" spans="1:41" x14ac:dyDescent="0.2">
      <c r="A1205" s="44" t="str">
        <f>IF(COUNTA(B1205)&gt;0,1197,"")</f>
        <v/>
      </c>
      <c r="G1205" s="25" t="str">
        <f t="shared" si="0"/>
        <v/>
      </c>
      <c r="N1205" s="44" t="str">
        <f>IF(COUNTA(B1205)&gt;0,C5,"")</f>
        <v/>
      </c>
      <c r="AO1205" t="str">
        <f t="shared" si="19"/>
        <v/>
      </c>
    </row>
    <row r="1206" spans="1:41" x14ac:dyDescent="0.2">
      <c r="A1206" s="44" t="str">
        <f>IF(COUNTA(B1206)&gt;0,1198,"")</f>
        <v/>
      </c>
      <c r="G1206" s="25" t="str">
        <f t="shared" si="0"/>
        <v/>
      </c>
      <c r="N1206" s="44" t="str">
        <f>IF(COUNTA(B1206)&gt;0,C5,"")</f>
        <v/>
      </c>
      <c r="AO1206" t="str">
        <f t="shared" si="19"/>
        <v/>
      </c>
    </row>
    <row r="1207" spans="1:41" x14ac:dyDescent="0.2">
      <c r="A1207" s="44" t="str">
        <f>IF(COUNTA(B1207)&gt;0,1199,"")</f>
        <v/>
      </c>
      <c r="G1207" s="25" t="str">
        <f t="shared" si="0"/>
        <v/>
      </c>
      <c r="N1207" s="44" t="str">
        <f>IF(COUNTA(B1207)&gt;0,C5,"")</f>
        <v/>
      </c>
      <c r="AO1207" t="str">
        <f t="shared" si="19"/>
        <v/>
      </c>
    </row>
    <row r="1208" spans="1:41" x14ac:dyDescent="0.2">
      <c r="A1208" s="44" t="str">
        <f>IF(COUNTA(B1208)&gt;0,1200,"")</f>
        <v/>
      </c>
      <c r="G1208" s="25" t="str">
        <f t="shared" si="0"/>
        <v/>
      </c>
      <c r="N1208" s="44" t="str">
        <f>IF(COUNTA(B1208)&gt;0,C5,"")</f>
        <v/>
      </c>
      <c r="AO1208" t="str">
        <f t="shared" si="19"/>
        <v/>
      </c>
    </row>
    <row r="1209" spans="1:41" x14ac:dyDescent="0.2">
      <c r="A1209" s="44" t="str">
        <f>IF(COUNTA(B1209)&gt;0,1201,"")</f>
        <v/>
      </c>
      <c r="G1209" s="25" t="str">
        <f t="shared" si="0"/>
        <v/>
      </c>
      <c r="N1209" s="44" t="str">
        <f>IF(COUNTA(B1209)&gt;0,C5,"")</f>
        <v/>
      </c>
      <c r="AO1209" t="str">
        <f t="shared" si="19"/>
        <v/>
      </c>
    </row>
    <row r="1210" spans="1:41" x14ac:dyDescent="0.2">
      <c r="A1210" s="44" t="str">
        <f>IF(COUNTA(B1210)&gt;0,1202,"")</f>
        <v/>
      </c>
      <c r="G1210" s="25" t="str">
        <f t="shared" si="0"/>
        <v/>
      </c>
      <c r="N1210" s="44" t="str">
        <f>IF(COUNTA(B1210)&gt;0,C5,"")</f>
        <v/>
      </c>
      <c r="AO1210" t="str">
        <f t="shared" si="19"/>
        <v/>
      </c>
    </row>
    <row r="1211" spans="1:41" x14ac:dyDescent="0.2">
      <c r="A1211" s="44" t="str">
        <f>IF(COUNTA(B1211)&gt;0,1203,"")</f>
        <v/>
      </c>
      <c r="G1211" s="25" t="str">
        <f t="shared" si="0"/>
        <v/>
      </c>
      <c r="N1211" s="44" t="str">
        <f>IF(COUNTA(B1211)&gt;0,C5,"")</f>
        <v/>
      </c>
      <c r="AO1211" t="str">
        <f t="shared" si="19"/>
        <v/>
      </c>
    </row>
    <row r="1212" spans="1:41" x14ac:dyDescent="0.2">
      <c r="A1212" s="44" t="str">
        <f>IF(COUNTA(B1212)&gt;0,1204,"")</f>
        <v/>
      </c>
      <c r="G1212" s="25" t="str">
        <f t="shared" si="0"/>
        <v/>
      </c>
      <c r="N1212" s="44" t="str">
        <f>IF(COUNTA(B1212)&gt;0,C5,"")</f>
        <v/>
      </c>
      <c r="AO1212" t="str">
        <f t="shared" si="19"/>
        <v/>
      </c>
    </row>
    <row r="1213" spans="1:41" x14ac:dyDescent="0.2">
      <c r="A1213" s="44" t="str">
        <f>IF(COUNTA(B1213)&gt;0,1205,"")</f>
        <v/>
      </c>
      <c r="G1213" s="25" t="str">
        <f t="shared" si="0"/>
        <v/>
      </c>
      <c r="N1213" s="44" t="str">
        <f>IF(COUNTA(B1213)&gt;0,C5,"")</f>
        <v/>
      </c>
      <c r="AO1213" t="str">
        <f t="shared" si="19"/>
        <v/>
      </c>
    </row>
    <row r="1214" spans="1:41" x14ac:dyDescent="0.2">
      <c r="A1214" s="44" t="str">
        <f>IF(COUNTA(B1214)&gt;0,1206,"")</f>
        <v/>
      </c>
      <c r="G1214" s="25" t="str">
        <f t="shared" si="0"/>
        <v/>
      </c>
      <c r="N1214" s="44" t="str">
        <f>IF(COUNTA(B1214)&gt;0,C5,"")</f>
        <v/>
      </c>
      <c r="AO1214" t="str">
        <f t="shared" si="19"/>
        <v/>
      </c>
    </row>
    <row r="1215" spans="1:41" x14ac:dyDescent="0.2">
      <c r="A1215" s="44" t="str">
        <f>IF(COUNTA(B1215)&gt;0,1207,"")</f>
        <v/>
      </c>
      <c r="G1215" s="25" t="str">
        <f t="shared" si="0"/>
        <v/>
      </c>
      <c r="N1215" s="44" t="str">
        <f>IF(COUNTA(B1215)&gt;0,C5,"")</f>
        <v/>
      </c>
      <c r="AO1215" t="str">
        <f t="shared" si="19"/>
        <v/>
      </c>
    </row>
    <row r="1216" spans="1:41" x14ac:dyDescent="0.2">
      <c r="A1216" s="44" t="str">
        <f>IF(COUNTA(B1216)&gt;0,1208,"")</f>
        <v/>
      </c>
      <c r="G1216" s="25" t="str">
        <f t="shared" si="0"/>
        <v/>
      </c>
      <c r="N1216" s="44" t="str">
        <f>IF(COUNTA(B1216)&gt;0,C5,"")</f>
        <v/>
      </c>
      <c r="AO1216" t="str">
        <f t="shared" si="19"/>
        <v/>
      </c>
    </row>
    <row r="1217" spans="1:41" x14ac:dyDescent="0.2">
      <c r="A1217" s="44" t="str">
        <f>IF(COUNTA(B1217)&gt;0,1209,"")</f>
        <v/>
      </c>
      <c r="G1217" s="25" t="str">
        <f t="shared" si="0"/>
        <v/>
      </c>
      <c r="N1217" s="44" t="str">
        <f>IF(COUNTA(B1217)&gt;0,C5,"")</f>
        <v/>
      </c>
      <c r="AO1217" t="str">
        <f t="shared" si="19"/>
        <v/>
      </c>
    </row>
    <row r="1218" spans="1:41" x14ac:dyDescent="0.2">
      <c r="A1218" s="44" t="str">
        <f>IF(COUNTA(B1218)&gt;0,1210,"")</f>
        <v/>
      </c>
      <c r="G1218" s="25" t="str">
        <f t="shared" si="0"/>
        <v/>
      </c>
      <c r="N1218" s="44" t="str">
        <f>IF(COUNTA(B1218)&gt;0,C5,"")</f>
        <v/>
      </c>
      <c r="AO1218" t="str">
        <f t="shared" si="19"/>
        <v/>
      </c>
    </row>
    <row r="1219" spans="1:41" x14ac:dyDescent="0.2">
      <c r="A1219" s="44" t="str">
        <f>IF(COUNTA(B1219)&gt;0,1211,"")</f>
        <v/>
      </c>
      <c r="G1219" s="25" t="str">
        <f t="shared" si="0"/>
        <v/>
      </c>
      <c r="N1219" s="44" t="str">
        <f>IF(COUNTA(B1219)&gt;0,C5,"")</f>
        <v/>
      </c>
      <c r="AO1219" t="str">
        <f t="shared" si="19"/>
        <v/>
      </c>
    </row>
    <row r="1220" spans="1:41" x14ac:dyDescent="0.2">
      <c r="A1220" s="44" t="str">
        <f>IF(COUNTA(B1220)&gt;0,1212,"")</f>
        <v/>
      </c>
      <c r="G1220" s="25" t="str">
        <f t="shared" si="0"/>
        <v/>
      </c>
      <c r="N1220" s="44" t="str">
        <f>IF(COUNTA(B1220)&gt;0,C5,"")</f>
        <v/>
      </c>
      <c r="AO1220" t="str">
        <f t="shared" si="19"/>
        <v/>
      </c>
    </row>
    <row r="1221" spans="1:41" x14ac:dyDescent="0.2">
      <c r="A1221" s="44" t="str">
        <f>IF(COUNTA(B1221)&gt;0,1213,"")</f>
        <v/>
      </c>
      <c r="G1221" s="25" t="str">
        <f t="shared" si="0"/>
        <v/>
      </c>
      <c r="N1221" s="44" t="str">
        <f>IF(COUNTA(B1221)&gt;0,C5,"")</f>
        <v/>
      </c>
      <c r="AO1221" t="str">
        <f t="shared" si="19"/>
        <v/>
      </c>
    </row>
    <row r="1222" spans="1:41" x14ac:dyDescent="0.2">
      <c r="A1222" s="44" t="str">
        <f>IF(COUNTA(B1222)&gt;0,1214,"")</f>
        <v/>
      </c>
      <c r="G1222" s="25" t="str">
        <f t="shared" si="0"/>
        <v/>
      </c>
      <c r="N1222" s="44" t="str">
        <f>IF(COUNTA(B1222)&gt;0,C5,"")</f>
        <v/>
      </c>
      <c r="AO1222" t="str">
        <f t="shared" si="19"/>
        <v/>
      </c>
    </row>
    <row r="1223" spans="1:41" x14ac:dyDescent="0.2">
      <c r="A1223" s="44" t="str">
        <f>IF(COUNTA(B1223)&gt;0,1215,"")</f>
        <v/>
      </c>
      <c r="G1223" s="25" t="str">
        <f t="shared" si="0"/>
        <v/>
      </c>
      <c r="N1223" s="44" t="str">
        <f>IF(COUNTA(B1223)&gt;0,C5,"")</f>
        <v/>
      </c>
      <c r="AO1223" t="str">
        <f t="shared" si="19"/>
        <v/>
      </c>
    </row>
    <row r="1224" spans="1:41" x14ac:dyDescent="0.2">
      <c r="A1224" s="44" t="str">
        <f>IF(COUNTA(B1224)&gt;0,1216,"")</f>
        <v/>
      </c>
      <c r="G1224" s="25" t="str">
        <f t="shared" si="0"/>
        <v/>
      </c>
      <c r="N1224" s="44" t="str">
        <f>IF(COUNTA(B1224)&gt;0,C5,"")</f>
        <v/>
      </c>
      <c r="AO1224" t="str">
        <f t="shared" si="19"/>
        <v/>
      </c>
    </row>
    <row r="1225" spans="1:41" x14ac:dyDescent="0.2">
      <c r="A1225" s="44" t="str">
        <f>IF(COUNTA(B1225)&gt;0,1217,"")</f>
        <v/>
      </c>
      <c r="G1225" s="25" t="str">
        <f t="shared" si="0"/>
        <v/>
      </c>
      <c r="N1225" s="44" t="str">
        <f>IF(COUNTA(B1225)&gt;0,C5,"")</f>
        <v/>
      </c>
      <c r="AO1225" t="str">
        <f t="shared" ref="AO1225:AO1288" si="20">IF(COUNTA(L1225:M1225)&lt;&gt;0,"Có",IF(COUNTA(B1225)&gt;0,"Không",""))</f>
        <v/>
      </c>
    </row>
    <row r="1226" spans="1:41" x14ac:dyDescent="0.2">
      <c r="A1226" s="44" t="str">
        <f>IF(COUNTA(B1226)&gt;0,1218,"")</f>
        <v/>
      </c>
      <c r="G1226" s="25" t="str">
        <f t="shared" si="0"/>
        <v/>
      </c>
      <c r="N1226" s="44" t="str">
        <f>IF(COUNTA(B1226)&gt;0,C5,"")</f>
        <v/>
      </c>
      <c r="AO1226" t="str">
        <f t="shared" si="20"/>
        <v/>
      </c>
    </row>
    <row r="1227" spans="1:41" x14ac:dyDescent="0.2">
      <c r="A1227" s="44" t="str">
        <f>IF(COUNTA(B1227)&gt;0,1219,"")</f>
        <v/>
      </c>
      <c r="G1227" s="25" t="str">
        <f t="shared" si="0"/>
        <v/>
      </c>
      <c r="N1227" s="44" t="str">
        <f>IF(COUNTA(B1227)&gt;0,C5,"")</f>
        <v/>
      </c>
      <c r="AO1227" t="str">
        <f t="shared" si="20"/>
        <v/>
      </c>
    </row>
    <row r="1228" spans="1:41" x14ac:dyDescent="0.2">
      <c r="A1228" s="44" t="str">
        <f>IF(COUNTA(B1228)&gt;0,1220,"")</f>
        <v/>
      </c>
      <c r="G1228" s="25" t="str">
        <f t="shared" si="0"/>
        <v/>
      </c>
      <c r="N1228" s="44" t="str">
        <f>IF(COUNTA(B1228)&gt;0,C5,"")</f>
        <v/>
      </c>
      <c r="AO1228" t="str">
        <f t="shared" si="20"/>
        <v/>
      </c>
    </row>
    <row r="1229" spans="1:41" x14ac:dyDescent="0.2">
      <c r="A1229" s="44" t="str">
        <f>IF(COUNTA(B1229)&gt;0,1221,"")</f>
        <v/>
      </c>
      <c r="G1229" s="25" t="str">
        <f t="shared" si="0"/>
        <v/>
      </c>
      <c r="N1229" s="44" t="str">
        <f>IF(COUNTA(B1229)&gt;0,C5,"")</f>
        <v/>
      </c>
      <c r="AO1229" t="str">
        <f t="shared" si="20"/>
        <v/>
      </c>
    </row>
    <row r="1230" spans="1:41" x14ac:dyDescent="0.2">
      <c r="A1230" s="44" t="str">
        <f>IF(COUNTA(B1230)&gt;0,1222,"")</f>
        <v/>
      </c>
      <c r="G1230" s="25" t="str">
        <f t="shared" si="0"/>
        <v/>
      </c>
      <c r="N1230" s="44" t="str">
        <f>IF(COUNTA(B1230)&gt;0,C5,"")</f>
        <v/>
      </c>
      <c r="AO1230" t="str">
        <f t="shared" si="20"/>
        <v/>
      </c>
    </row>
    <row r="1231" spans="1:41" x14ac:dyDescent="0.2">
      <c r="A1231" s="44" t="str">
        <f>IF(COUNTA(B1231)&gt;0,1223,"")</f>
        <v/>
      </c>
      <c r="G1231" s="25" t="str">
        <f t="shared" si="0"/>
        <v/>
      </c>
      <c r="N1231" s="44" t="str">
        <f>IF(COUNTA(B1231)&gt;0,C5,"")</f>
        <v/>
      </c>
      <c r="AO1231" t="str">
        <f t="shared" si="20"/>
        <v/>
      </c>
    </row>
    <row r="1232" spans="1:41" x14ac:dyDescent="0.2">
      <c r="A1232" s="44" t="str">
        <f>IF(COUNTA(B1232)&gt;0,1224,"")</f>
        <v/>
      </c>
      <c r="G1232" s="25" t="str">
        <f t="shared" si="0"/>
        <v/>
      </c>
      <c r="N1232" s="44" t="str">
        <f>IF(COUNTA(B1232)&gt;0,C5,"")</f>
        <v/>
      </c>
      <c r="AO1232" t="str">
        <f t="shared" si="20"/>
        <v/>
      </c>
    </row>
    <row r="1233" spans="1:41" x14ac:dyDescent="0.2">
      <c r="A1233" s="44" t="str">
        <f>IF(COUNTA(B1233)&gt;0,1225,"")</f>
        <v/>
      </c>
      <c r="G1233" s="25" t="str">
        <f t="shared" si="0"/>
        <v/>
      </c>
      <c r="N1233" s="44" t="str">
        <f>IF(COUNTA(B1233)&gt;0,C5,"")</f>
        <v/>
      </c>
      <c r="AO1233" t="str">
        <f t="shared" si="20"/>
        <v/>
      </c>
    </row>
    <row r="1234" spans="1:41" x14ac:dyDescent="0.2">
      <c r="A1234" s="44" t="str">
        <f>IF(COUNTA(B1234)&gt;0,1226,"")</f>
        <v/>
      </c>
      <c r="G1234" s="25" t="str">
        <f t="shared" si="0"/>
        <v/>
      </c>
      <c r="N1234" s="44" t="str">
        <f>IF(COUNTA(B1234)&gt;0,C5,"")</f>
        <v/>
      </c>
      <c r="AO1234" t="str">
        <f t="shared" si="20"/>
        <v/>
      </c>
    </row>
    <row r="1235" spans="1:41" x14ac:dyDescent="0.2">
      <c r="A1235" s="44" t="str">
        <f>IF(COUNTA(B1235)&gt;0,1227,"")</f>
        <v/>
      </c>
      <c r="G1235" s="25" t="str">
        <f t="shared" si="0"/>
        <v/>
      </c>
      <c r="N1235" s="44" t="str">
        <f>IF(COUNTA(B1235)&gt;0,C5,"")</f>
        <v/>
      </c>
      <c r="AO1235" t="str">
        <f t="shared" si="20"/>
        <v/>
      </c>
    </row>
    <row r="1236" spans="1:41" x14ac:dyDescent="0.2">
      <c r="A1236" s="44" t="str">
        <f>IF(COUNTA(B1236)&gt;0,1228,"")</f>
        <v/>
      </c>
      <c r="G1236" s="25" t="str">
        <f t="shared" si="0"/>
        <v/>
      </c>
      <c r="N1236" s="44" t="str">
        <f>IF(COUNTA(B1236)&gt;0,C5,"")</f>
        <v/>
      </c>
      <c r="AO1236" t="str">
        <f t="shared" si="20"/>
        <v/>
      </c>
    </row>
    <row r="1237" spans="1:41" x14ac:dyDescent="0.2">
      <c r="A1237" s="44" t="str">
        <f>IF(COUNTA(B1237)&gt;0,1229,"")</f>
        <v/>
      </c>
      <c r="G1237" s="25" t="str">
        <f t="shared" si="0"/>
        <v/>
      </c>
      <c r="N1237" s="44" t="str">
        <f>IF(COUNTA(B1237)&gt;0,C5,"")</f>
        <v/>
      </c>
      <c r="AO1237" t="str">
        <f t="shared" si="20"/>
        <v/>
      </c>
    </row>
    <row r="1238" spans="1:41" x14ac:dyDescent="0.2">
      <c r="A1238" s="44" t="str">
        <f>IF(COUNTA(B1238)&gt;0,1230,"")</f>
        <v/>
      </c>
      <c r="G1238" s="25" t="str">
        <f t="shared" si="0"/>
        <v/>
      </c>
      <c r="N1238" s="44" t="str">
        <f>IF(COUNTA(B1238)&gt;0,C5,"")</f>
        <v/>
      </c>
      <c r="AO1238" t="str">
        <f t="shared" si="20"/>
        <v/>
      </c>
    </row>
    <row r="1239" spans="1:41" x14ac:dyDescent="0.2">
      <c r="A1239" s="44" t="str">
        <f>IF(COUNTA(B1239)&gt;0,1231,"")</f>
        <v/>
      </c>
      <c r="G1239" s="25" t="str">
        <f t="shared" si="0"/>
        <v/>
      </c>
      <c r="N1239" s="44" t="str">
        <f>IF(COUNTA(B1239)&gt;0,C5,"")</f>
        <v/>
      </c>
      <c r="AO1239" t="str">
        <f t="shared" si="20"/>
        <v/>
      </c>
    </row>
    <row r="1240" spans="1:41" x14ac:dyDescent="0.2">
      <c r="A1240" s="44" t="str">
        <f>IF(COUNTA(B1240)&gt;0,1232,"")</f>
        <v/>
      </c>
      <c r="G1240" s="25" t="str">
        <f t="shared" si="0"/>
        <v/>
      </c>
      <c r="N1240" s="44" t="str">
        <f>IF(COUNTA(B1240)&gt;0,C5,"")</f>
        <v/>
      </c>
      <c r="AO1240" t="str">
        <f t="shared" si="20"/>
        <v/>
      </c>
    </row>
    <row r="1241" spans="1:41" x14ac:dyDescent="0.2">
      <c r="A1241" s="44" t="str">
        <f>IF(COUNTA(B1241)&gt;0,1233,"")</f>
        <v/>
      </c>
      <c r="G1241" s="25" t="str">
        <f t="shared" si="0"/>
        <v/>
      </c>
      <c r="N1241" s="44" t="str">
        <f>IF(COUNTA(B1241)&gt;0,C5,"")</f>
        <v/>
      </c>
      <c r="AO1241" t="str">
        <f t="shared" si="20"/>
        <v/>
      </c>
    </row>
    <row r="1242" spans="1:41" x14ac:dyDescent="0.2">
      <c r="A1242" s="44" t="str">
        <f>IF(COUNTA(B1242)&gt;0,1234,"")</f>
        <v/>
      </c>
      <c r="G1242" s="25" t="str">
        <f t="shared" si="0"/>
        <v/>
      </c>
      <c r="N1242" s="44" t="str">
        <f>IF(COUNTA(B1242)&gt;0,C5,"")</f>
        <v/>
      </c>
      <c r="AO1242" t="str">
        <f t="shared" si="20"/>
        <v/>
      </c>
    </row>
    <row r="1243" spans="1:41" x14ac:dyDescent="0.2">
      <c r="A1243" s="44" t="str">
        <f>IF(COUNTA(B1243)&gt;0,1235,"")</f>
        <v/>
      </c>
      <c r="G1243" s="25" t="str">
        <f t="shared" si="0"/>
        <v/>
      </c>
      <c r="N1243" s="44" t="str">
        <f>IF(COUNTA(B1243)&gt;0,C5,"")</f>
        <v/>
      </c>
      <c r="AO1243" t="str">
        <f t="shared" si="20"/>
        <v/>
      </c>
    </row>
    <row r="1244" spans="1:41" x14ac:dyDescent="0.2">
      <c r="A1244" s="44" t="str">
        <f>IF(COUNTA(B1244)&gt;0,1236,"")</f>
        <v/>
      </c>
      <c r="G1244" s="25" t="str">
        <f t="shared" si="0"/>
        <v/>
      </c>
      <c r="N1244" s="44" t="str">
        <f>IF(COUNTA(B1244)&gt;0,C5,"")</f>
        <v/>
      </c>
      <c r="AO1244" t="str">
        <f t="shared" si="20"/>
        <v/>
      </c>
    </row>
    <row r="1245" spans="1:41" x14ac:dyDescent="0.2">
      <c r="A1245" s="44" t="str">
        <f>IF(COUNTA(B1245)&gt;0,1237,"")</f>
        <v/>
      </c>
      <c r="G1245" s="25" t="str">
        <f t="shared" si="0"/>
        <v/>
      </c>
      <c r="N1245" s="44" t="str">
        <f>IF(COUNTA(B1245)&gt;0,C5,"")</f>
        <v/>
      </c>
      <c r="AO1245" t="str">
        <f t="shared" si="20"/>
        <v/>
      </c>
    </row>
    <row r="1246" spans="1:41" x14ac:dyDescent="0.2">
      <c r="A1246" s="44" t="str">
        <f>IF(COUNTA(B1246)&gt;0,1238,"")</f>
        <v/>
      </c>
      <c r="G1246" s="25" t="str">
        <f t="shared" si="0"/>
        <v/>
      </c>
      <c r="N1246" s="44" t="str">
        <f>IF(COUNTA(B1246)&gt;0,C5,"")</f>
        <v/>
      </c>
      <c r="AO1246" t="str">
        <f t="shared" si="20"/>
        <v/>
      </c>
    </row>
    <row r="1247" spans="1:41" x14ac:dyDescent="0.2">
      <c r="A1247" s="44" t="str">
        <f>IF(COUNTA(B1247)&gt;0,1239,"")</f>
        <v/>
      </c>
      <c r="G1247" s="25" t="str">
        <f t="shared" si="0"/>
        <v/>
      </c>
      <c r="N1247" s="44" t="str">
        <f>IF(COUNTA(B1247)&gt;0,C5,"")</f>
        <v/>
      </c>
      <c r="AO1247" t="str">
        <f t="shared" si="20"/>
        <v/>
      </c>
    </row>
    <row r="1248" spans="1:41" x14ac:dyDescent="0.2">
      <c r="A1248" s="44" t="str">
        <f>IF(COUNTA(B1248)&gt;0,1240,"")</f>
        <v/>
      </c>
      <c r="G1248" s="25" t="str">
        <f t="shared" si="0"/>
        <v/>
      </c>
      <c r="N1248" s="44" t="str">
        <f>IF(COUNTA(B1248)&gt;0,C5,"")</f>
        <v/>
      </c>
      <c r="AO1248" t="str">
        <f t="shared" si="20"/>
        <v/>
      </c>
    </row>
    <row r="1249" spans="1:41" x14ac:dyDescent="0.2">
      <c r="A1249" s="44" t="str">
        <f>IF(COUNTA(B1249)&gt;0,1241,"")</f>
        <v/>
      </c>
      <c r="G1249" s="25" t="str">
        <f t="shared" si="0"/>
        <v/>
      </c>
      <c r="N1249" s="44" t="str">
        <f>IF(COUNTA(B1249)&gt;0,C5,"")</f>
        <v/>
      </c>
      <c r="AO1249" t="str">
        <f t="shared" si="20"/>
        <v/>
      </c>
    </row>
    <row r="1250" spans="1:41" x14ac:dyDescent="0.2">
      <c r="A1250" s="44" t="str">
        <f>IF(COUNTA(B1250)&gt;0,1242,"")</f>
        <v/>
      </c>
      <c r="G1250" s="25" t="str">
        <f t="shared" si="0"/>
        <v/>
      </c>
      <c r="N1250" s="44" t="str">
        <f>IF(COUNTA(B1250)&gt;0,C5,"")</f>
        <v/>
      </c>
      <c r="AO1250" t="str">
        <f t="shared" si="20"/>
        <v/>
      </c>
    </row>
    <row r="1251" spans="1:41" x14ac:dyDescent="0.2">
      <c r="A1251" s="44" t="str">
        <f>IF(COUNTA(B1251)&gt;0,1243,"")</f>
        <v/>
      </c>
      <c r="G1251" s="25" t="str">
        <f t="shared" si="0"/>
        <v/>
      </c>
      <c r="N1251" s="44" t="str">
        <f>IF(COUNTA(B1251)&gt;0,C5,"")</f>
        <v/>
      </c>
      <c r="AO1251" t="str">
        <f t="shared" si="20"/>
        <v/>
      </c>
    </row>
    <row r="1252" spans="1:41" x14ac:dyDescent="0.2">
      <c r="A1252" s="44" t="str">
        <f>IF(COUNTA(B1252)&gt;0,1244,"")</f>
        <v/>
      </c>
      <c r="G1252" s="25" t="str">
        <f t="shared" si="0"/>
        <v/>
      </c>
      <c r="N1252" s="44" t="str">
        <f>IF(COUNTA(B1252)&gt;0,C5,"")</f>
        <v/>
      </c>
      <c r="AO1252" t="str">
        <f t="shared" si="20"/>
        <v/>
      </c>
    </row>
    <row r="1253" spans="1:41" x14ac:dyDescent="0.2">
      <c r="A1253" s="44" t="str">
        <f>IF(COUNTA(B1253)&gt;0,1245,"")</f>
        <v/>
      </c>
      <c r="G1253" s="25" t="str">
        <f t="shared" si="0"/>
        <v/>
      </c>
      <c r="N1253" s="44" t="str">
        <f>IF(COUNTA(B1253)&gt;0,C5,"")</f>
        <v/>
      </c>
      <c r="AO1253" t="str">
        <f t="shared" si="20"/>
        <v/>
      </c>
    </row>
    <row r="1254" spans="1:41" x14ac:dyDescent="0.2">
      <c r="A1254" s="44" t="str">
        <f>IF(COUNTA(B1254)&gt;0,1246,"")</f>
        <v/>
      </c>
      <c r="G1254" s="25" t="str">
        <f t="shared" si="0"/>
        <v/>
      </c>
      <c r="N1254" s="44" t="str">
        <f>IF(COUNTA(B1254)&gt;0,C5,"")</f>
        <v/>
      </c>
      <c r="AO1254" t="str">
        <f t="shared" si="20"/>
        <v/>
      </c>
    </row>
    <row r="1255" spans="1:41" x14ac:dyDescent="0.2">
      <c r="A1255" s="44" t="str">
        <f>IF(COUNTA(B1255)&gt;0,1247,"")</f>
        <v/>
      </c>
      <c r="G1255" s="25" t="str">
        <f t="shared" si="0"/>
        <v/>
      </c>
      <c r="N1255" s="44" t="str">
        <f>IF(COUNTA(B1255)&gt;0,C5,"")</f>
        <v/>
      </c>
      <c r="AO1255" t="str">
        <f t="shared" si="20"/>
        <v/>
      </c>
    </row>
    <row r="1256" spans="1:41" x14ac:dyDescent="0.2">
      <c r="A1256" s="44" t="str">
        <f>IF(COUNTA(B1256)&gt;0,1248,"")</f>
        <v/>
      </c>
      <c r="G1256" s="25" t="str">
        <f t="shared" si="0"/>
        <v/>
      </c>
      <c r="N1256" s="44" t="str">
        <f>IF(COUNTA(B1256)&gt;0,C5,"")</f>
        <v/>
      </c>
      <c r="AO1256" t="str">
        <f t="shared" si="20"/>
        <v/>
      </c>
    </row>
    <row r="1257" spans="1:41" x14ac:dyDescent="0.2">
      <c r="A1257" s="44" t="str">
        <f>IF(COUNTA(B1257)&gt;0,1249,"")</f>
        <v/>
      </c>
      <c r="G1257" s="25" t="str">
        <f t="shared" si="0"/>
        <v/>
      </c>
      <c r="N1257" s="44" t="str">
        <f>IF(COUNTA(B1257)&gt;0,C5,"")</f>
        <v/>
      </c>
      <c r="AO1257" t="str">
        <f t="shared" si="20"/>
        <v/>
      </c>
    </row>
    <row r="1258" spans="1:41" x14ac:dyDescent="0.2">
      <c r="A1258" s="44" t="str">
        <f>IF(COUNTA(B1258)&gt;0,1250,"")</f>
        <v/>
      </c>
      <c r="G1258" s="25" t="str">
        <f t="shared" si="0"/>
        <v/>
      </c>
      <c r="N1258" s="44" t="str">
        <f>IF(COUNTA(B1258)&gt;0,C5,"")</f>
        <v/>
      </c>
      <c r="AO1258" t="str">
        <f t="shared" si="20"/>
        <v/>
      </c>
    </row>
    <row r="1259" spans="1:41" x14ac:dyDescent="0.2">
      <c r="A1259" s="44" t="str">
        <f>IF(COUNTA(B1259)&gt;0,1251,"")</f>
        <v/>
      </c>
      <c r="G1259" s="25" t="str">
        <f t="shared" si="0"/>
        <v/>
      </c>
      <c r="N1259" s="44" t="str">
        <f>IF(COUNTA(B1259)&gt;0,C5,"")</f>
        <v/>
      </c>
      <c r="AO1259" t="str">
        <f t="shared" si="20"/>
        <v/>
      </c>
    </row>
    <row r="1260" spans="1:41" x14ac:dyDescent="0.2">
      <c r="A1260" s="44" t="str">
        <f>IF(COUNTA(B1260)&gt;0,1252,"")</f>
        <v/>
      </c>
      <c r="G1260" s="25" t="str">
        <f t="shared" si="0"/>
        <v/>
      </c>
      <c r="N1260" s="44" t="str">
        <f>IF(COUNTA(B1260)&gt;0,C5,"")</f>
        <v/>
      </c>
      <c r="AO1260" t="str">
        <f t="shared" si="20"/>
        <v/>
      </c>
    </row>
    <row r="1261" spans="1:41" x14ac:dyDescent="0.2">
      <c r="A1261" s="44" t="str">
        <f>IF(COUNTA(B1261)&gt;0,1253,"")</f>
        <v/>
      </c>
      <c r="G1261" s="25" t="str">
        <f t="shared" si="0"/>
        <v/>
      </c>
      <c r="N1261" s="44" t="str">
        <f>IF(COUNTA(B1261)&gt;0,C5,"")</f>
        <v/>
      </c>
      <c r="AO1261" t="str">
        <f t="shared" si="20"/>
        <v/>
      </c>
    </row>
    <row r="1262" spans="1:41" x14ac:dyDescent="0.2">
      <c r="A1262" s="44" t="str">
        <f>IF(COUNTA(B1262)&gt;0,1254,"")</f>
        <v/>
      </c>
      <c r="G1262" s="25" t="str">
        <f t="shared" si="0"/>
        <v/>
      </c>
      <c r="N1262" s="44" t="str">
        <f>IF(COUNTA(B1262)&gt;0,C5,"")</f>
        <v/>
      </c>
      <c r="AO1262" t="str">
        <f t="shared" si="20"/>
        <v/>
      </c>
    </row>
    <row r="1263" spans="1:41" x14ac:dyDescent="0.2">
      <c r="A1263" s="44" t="str">
        <f>IF(COUNTA(B1263)&gt;0,1255,"")</f>
        <v/>
      </c>
      <c r="G1263" s="25" t="str">
        <f t="shared" si="0"/>
        <v/>
      </c>
      <c r="N1263" s="44" t="str">
        <f>IF(COUNTA(B1263)&gt;0,C5,"")</f>
        <v/>
      </c>
      <c r="AO1263" t="str">
        <f t="shared" si="20"/>
        <v/>
      </c>
    </row>
    <row r="1264" spans="1:41" x14ac:dyDescent="0.2">
      <c r="A1264" s="44" t="str">
        <f>IF(COUNTA(B1264)&gt;0,1256,"")</f>
        <v/>
      </c>
      <c r="G1264" s="25" t="str">
        <f t="shared" si="0"/>
        <v/>
      </c>
      <c r="N1264" s="44" t="str">
        <f>IF(COUNTA(B1264)&gt;0,C5,"")</f>
        <v/>
      </c>
      <c r="AO1264" t="str">
        <f t="shared" si="20"/>
        <v/>
      </c>
    </row>
    <row r="1265" spans="1:41" x14ac:dyDescent="0.2">
      <c r="A1265" s="44" t="str">
        <f>IF(COUNTA(B1265)&gt;0,1257,"")</f>
        <v/>
      </c>
      <c r="G1265" s="25" t="str">
        <f t="shared" si="0"/>
        <v/>
      </c>
      <c r="N1265" s="44" t="str">
        <f>IF(COUNTA(B1265)&gt;0,C5,"")</f>
        <v/>
      </c>
      <c r="AO1265" t="str">
        <f t="shared" si="20"/>
        <v/>
      </c>
    </row>
    <row r="1266" spans="1:41" x14ac:dyDescent="0.2">
      <c r="A1266" s="44" t="str">
        <f>IF(COUNTA(B1266)&gt;0,1258,"")</f>
        <v/>
      </c>
      <c r="G1266" s="25" t="str">
        <f t="shared" si="0"/>
        <v/>
      </c>
      <c r="N1266" s="44" t="str">
        <f>IF(COUNTA(B1266)&gt;0,C5,"")</f>
        <v/>
      </c>
      <c r="AO1266" t="str">
        <f t="shared" si="20"/>
        <v/>
      </c>
    </row>
    <row r="1267" spans="1:41" x14ac:dyDescent="0.2">
      <c r="A1267" s="44" t="str">
        <f>IF(COUNTA(B1267)&gt;0,1259,"")</f>
        <v/>
      </c>
      <c r="G1267" s="25" t="str">
        <f t="shared" si="0"/>
        <v/>
      </c>
      <c r="N1267" s="44" t="str">
        <f>IF(COUNTA(B1267)&gt;0,C5,"")</f>
        <v/>
      </c>
      <c r="AO1267" t="str">
        <f t="shared" si="20"/>
        <v/>
      </c>
    </row>
    <row r="1268" spans="1:41" x14ac:dyDescent="0.2">
      <c r="A1268" s="44" t="str">
        <f>IF(COUNTA(B1268)&gt;0,1260,"")</f>
        <v/>
      </c>
      <c r="G1268" s="25" t="str">
        <f t="shared" si="0"/>
        <v/>
      </c>
      <c r="N1268" s="44" t="str">
        <f>IF(COUNTA(B1268)&gt;0,C5,"")</f>
        <v/>
      </c>
      <c r="AO1268" t="str">
        <f t="shared" si="20"/>
        <v/>
      </c>
    </row>
    <row r="1269" spans="1:41" x14ac:dyDescent="0.2">
      <c r="A1269" s="44" t="str">
        <f>IF(COUNTA(B1269)&gt;0,1261,"")</f>
        <v/>
      </c>
      <c r="G1269" s="25" t="str">
        <f t="shared" si="0"/>
        <v/>
      </c>
      <c r="N1269" s="44" t="str">
        <f>IF(COUNTA(B1269)&gt;0,C5,"")</f>
        <v/>
      </c>
      <c r="AO1269" t="str">
        <f t="shared" si="20"/>
        <v/>
      </c>
    </row>
    <row r="1270" spans="1:41" x14ac:dyDescent="0.2">
      <c r="A1270" s="44" t="str">
        <f>IF(COUNTA(B1270)&gt;0,1262,"")</f>
        <v/>
      </c>
      <c r="G1270" s="25" t="str">
        <f t="shared" si="0"/>
        <v/>
      </c>
      <c r="N1270" s="44" t="str">
        <f>IF(COUNTA(B1270)&gt;0,C5,"")</f>
        <v/>
      </c>
      <c r="AO1270" t="str">
        <f t="shared" si="20"/>
        <v/>
      </c>
    </row>
    <row r="1271" spans="1:41" x14ac:dyDescent="0.2">
      <c r="A1271" s="44" t="str">
        <f>IF(COUNTA(B1271)&gt;0,1263,"")</f>
        <v/>
      </c>
      <c r="G1271" s="25" t="str">
        <f t="shared" si="0"/>
        <v/>
      </c>
      <c r="N1271" s="44" t="str">
        <f>IF(COUNTA(B1271)&gt;0,C5,"")</f>
        <v/>
      </c>
      <c r="AO1271" t="str">
        <f t="shared" si="20"/>
        <v/>
      </c>
    </row>
    <row r="1272" spans="1:41" x14ac:dyDescent="0.2">
      <c r="A1272" s="44" t="str">
        <f>IF(COUNTA(B1272)&gt;0,1264,"")</f>
        <v/>
      </c>
      <c r="G1272" s="25" t="str">
        <f t="shared" si="0"/>
        <v/>
      </c>
      <c r="N1272" s="44" t="str">
        <f>IF(COUNTA(B1272)&gt;0,C5,"")</f>
        <v/>
      </c>
      <c r="AO1272" t="str">
        <f t="shared" si="20"/>
        <v/>
      </c>
    </row>
    <row r="1273" spans="1:41" x14ac:dyDescent="0.2">
      <c r="A1273" s="44" t="str">
        <f>IF(COUNTA(B1273)&gt;0,1265,"")</f>
        <v/>
      </c>
      <c r="G1273" s="25" t="str">
        <f t="shared" si="0"/>
        <v/>
      </c>
      <c r="N1273" s="44" t="str">
        <f>IF(COUNTA(B1273)&gt;0,C5,"")</f>
        <v/>
      </c>
      <c r="AO1273" t="str">
        <f t="shared" si="20"/>
        <v/>
      </c>
    </row>
    <row r="1274" spans="1:41" x14ac:dyDescent="0.2">
      <c r="A1274" s="44" t="str">
        <f>IF(COUNTA(B1274)&gt;0,1266,"")</f>
        <v/>
      </c>
      <c r="G1274" s="25" t="str">
        <f t="shared" si="0"/>
        <v/>
      </c>
      <c r="N1274" s="44" t="str">
        <f>IF(COUNTA(B1274)&gt;0,C5,"")</f>
        <v/>
      </c>
      <c r="AO1274" t="str">
        <f t="shared" si="20"/>
        <v/>
      </c>
    </row>
    <row r="1275" spans="1:41" x14ac:dyDescent="0.2">
      <c r="A1275" s="44" t="str">
        <f>IF(COUNTA(B1275)&gt;0,1267,"")</f>
        <v/>
      </c>
      <c r="G1275" s="25" t="str">
        <f t="shared" si="0"/>
        <v/>
      </c>
      <c r="N1275" s="44" t="str">
        <f>IF(COUNTA(B1275)&gt;0,C5,"")</f>
        <v/>
      </c>
      <c r="AO1275" t="str">
        <f t="shared" si="20"/>
        <v/>
      </c>
    </row>
    <row r="1276" spans="1:41" x14ac:dyDescent="0.2">
      <c r="A1276" s="44" t="str">
        <f>IF(COUNTA(B1276)&gt;0,1268,"")</f>
        <v/>
      </c>
      <c r="G1276" s="25" t="str">
        <f t="shared" si="0"/>
        <v/>
      </c>
      <c r="N1276" s="44" t="str">
        <f>IF(COUNTA(B1276)&gt;0,C5,"")</f>
        <v/>
      </c>
      <c r="AO1276" t="str">
        <f t="shared" si="20"/>
        <v/>
      </c>
    </row>
    <row r="1277" spans="1:41" x14ac:dyDescent="0.2">
      <c r="A1277" s="44" t="str">
        <f>IF(COUNTA(B1277)&gt;0,1269,"")</f>
        <v/>
      </c>
      <c r="G1277" s="25" t="str">
        <f t="shared" si="0"/>
        <v/>
      </c>
      <c r="N1277" s="44" t="str">
        <f>IF(COUNTA(B1277)&gt;0,C5,"")</f>
        <v/>
      </c>
      <c r="AO1277" t="str">
        <f t="shared" si="20"/>
        <v/>
      </c>
    </row>
    <row r="1278" spans="1:41" x14ac:dyDescent="0.2">
      <c r="A1278" s="44" t="str">
        <f>IF(COUNTA(B1278)&gt;0,1270,"")</f>
        <v/>
      </c>
      <c r="G1278" s="25" t="str">
        <f t="shared" si="0"/>
        <v/>
      </c>
      <c r="N1278" s="44" t="str">
        <f>IF(COUNTA(B1278)&gt;0,C5,"")</f>
        <v/>
      </c>
      <c r="AO1278" t="str">
        <f t="shared" si="20"/>
        <v/>
      </c>
    </row>
    <row r="1279" spans="1:41" x14ac:dyDescent="0.2">
      <c r="A1279" s="44" t="str">
        <f>IF(COUNTA(B1279)&gt;0,1271,"")</f>
        <v/>
      </c>
      <c r="G1279" s="25" t="str">
        <f t="shared" si="0"/>
        <v/>
      </c>
      <c r="N1279" s="44" t="str">
        <f>IF(COUNTA(B1279)&gt;0,C5,"")</f>
        <v/>
      </c>
      <c r="AO1279" t="str">
        <f t="shared" si="20"/>
        <v/>
      </c>
    </row>
    <row r="1280" spans="1:41" x14ac:dyDescent="0.2">
      <c r="A1280" s="44" t="str">
        <f>IF(COUNTA(B1280)&gt;0,1272,"")</f>
        <v/>
      </c>
      <c r="G1280" s="25" t="str">
        <f t="shared" si="0"/>
        <v/>
      </c>
      <c r="N1280" s="44" t="str">
        <f>IF(COUNTA(B1280)&gt;0,C5,"")</f>
        <v/>
      </c>
      <c r="AO1280" t="str">
        <f t="shared" si="20"/>
        <v/>
      </c>
    </row>
    <row r="1281" spans="1:41" x14ac:dyDescent="0.2">
      <c r="A1281" s="44" t="str">
        <f>IF(COUNTA(B1281)&gt;0,1273,"")</f>
        <v/>
      </c>
      <c r="G1281" s="25" t="str">
        <f t="shared" si="0"/>
        <v/>
      </c>
      <c r="N1281" s="44" t="str">
        <f>IF(COUNTA(B1281)&gt;0,C5,"")</f>
        <v/>
      </c>
      <c r="AO1281" t="str">
        <f t="shared" si="20"/>
        <v/>
      </c>
    </row>
    <row r="1282" spans="1:41" x14ac:dyDescent="0.2">
      <c r="A1282" s="44" t="str">
        <f>IF(COUNTA(B1282)&gt;0,1274,"")</f>
        <v/>
      </c>
      <c r="G1282" s="25" t="str">
        <f t="shared" si="0"/>
        <v/>
      </c>
      <c r="N1282" s="44" t="str">
        <f>IF(COUNTA(B1282)&gt;0,C5,"")</f>
        <v/>
      </c>
      <c r="AO1282" t="str">
        <f t="shared" si="20"/>
        <v/>
      </c>
    </row>
    <row r="1283" spans="1:41" x14ac:dyDescent="0.2">
      <c r="A1283" s="44" t="str">
        <f>IF(COUNTA(B1283)&gt;0,1275,"")</f>
        <v/>
      </c>
      <c r="G1283" s="25" t="str">
        <f t="shared" si="0"/>
        <v/>
      </c>
      <c r="N1283" s="44" t="str">
        <f>IF(COUNTA(B1283)&gt;0,C5,"")</f>
        <v/>
      </c>
      <c r="AO1283" t="str">
        <f t="shared" si="20"/>
        <v/>
      </c>
    </row>
    <row r="1284" spans="1:41" x14ac:dyDescent="0.2">
      <c r="A1284" s="44" t="str">
        <f>IF(COUNTA(B1284)&gt;0,1276,"")</f>
        <v/>
      </c>
      <c r="G1284" s="25" t="str">
        <f t="shared" si="0"/>
        <v/>
      </c>
      <c r="N1284" s="44" t="str">
        <f>IF(COUNTA(B1284)&gt;0,C5,"")</f>
        <v/>
      </c>
      <c r="AO1284" t="str">
        <f t="shared" si="20"/>
        <v/>
      </c>
    </row>
    <row r="1285" spans="1:41" x14ac:dyDescent="0.2">
      <c r="A1285" s="44" t="str">
        <f>IF(COUNTA(B1285)&gt;0,1277,"")</f>
        <v/>
      </c>
      <c r="G1285" s="25" t="str">
        <f t="shared" si="0"/>
        <v/>
      </c>
      <c r="N1285" s="44" t="str">
        <f>IF(COUNTA(B1285)&gt;0,C5,"")</f>
        <v/>
      </c>
      <c r="AO1285" t="str">
        <f t="shared" si="20"/>
        <v/>
      </c>
    </row>
    <row r="1286" spans="1:41" x14ac:dyDescent="0.2">
      <c r="A1286" s="44" t="str">
        <f>IF(COUNTA(B1286)&gt;0,1278,"")</f>
        <v/>
      </c>
      <c r="G1286" s="25" t="str">
        <f t="shared" si="0"/>
        <v/>
      </c>
      <c r="N1286" s="44" t="str">
        <f>IF(COUNTA(B1286)&gt;0,C5,"")</f>
        <v/>
      </c>
      <c r="AO1286" t="str">
        <f t="shared" si="20"/>
        <v/>
      </c>
    </row>
    <row r="1287" spans="1:41" x14ac:dyDescent="0.2">
      <c r="A1287" s="44" t="str">
        <f>IF(COUNTA(B1287)&gt;0,1279,"")</f>
        <v/>
      </c>
      <c r="G1287" s="25" t="str">
        <f t="shared" si="0"/>
        <v/>
      </c>
      <c r="N1287" s="44" t="str">
        <f>IF(COUNTA(B1287)&gt;0,C5,"")</f>
        <v/>
      </c>
      <c r="AO1287" t="str">
        <f t="shared" si="20"/>
        <v/>
      </c>
    </row>
    <row r="1288" spans="1:41" x14ac:dyDescent="0.2">
      <c r="A1288" s="44" t="str">
        <f>IF(COUNTA(B1288)&gt;0,1280,"")</f>
        <v/>
      </c>
      <c r="G1288" s="25" t="str">
        <f t="shared" si="0"/>
        <v/>
      </c>
      <c r="N1288" s="44" t="str">
        <f>IF(COUNTA(B1288)&gt;0,C5,"")</f>
        <v/>
      </c>
      <c r="AO1288" t="str">
        <f t="shared" si="20"/>
        <v/>
      </c>
    </row>
    <row r="1289" spans="1:41" x14ac:dyDescent="0.2">
      <c r="A1289" s="44" t="str">
        <f>IF(COUNTA(B1289)&gt;0,1281,"")</f>
        <v/>
      </c>
      <c r="G1289" s="25" t="str">
        <f t="shared" si="0"/>
        <v/>
      </c>
      <c r="N1289" s="44" t="str">
        <f>IF(COUNTA(B1289)&gt;0,C5,"")</f>
        <v/>
      </c>
      <c r="AO1289" t="str">
        <f t="shared" ref="AO1289:AO1352" si="21">IF(COUNTA(L1289:M1289)&lt;&gt;0,"Có",IF(COUNTA(B1289)&gt;0,"Không",""))</f>
        <v/>
      </c>
    </row>
    <row r="1290" spans="1:41" x14ac:dyDescent="0.2">
      <c r="A1290" s="44" t="str">
        <f>IF(COUNTA(B1290)&gt;0,1282,"")</f>
        <v/>
      </c>
      <c r="G1290" s="25" t="str">
        <f t="shared" si="0"/>
        <v/>
      </c>
      <c r="N1290" s="44" t="str">
        <f>IF(COUNTA(B1290)&gt;0,C5,"")</f>
        <v/>
      </c>
      <c r="AO1290" t="str">
        <f t="shared" si="21"/>
        <v/>
      </c>
    </row>
    <row r="1291" spans="1:41" x14ac:dyDescent="0.2">
      <c r="A1291" s="44" t="str">
        <f>IF(COUNTA(B1291)&gt;0,1283,"")</f>
        <v/>
      </c>
      <c r="G1291" s="25" t="str">
        <f t="shared" si="0"/>
        <v/>
      </c>
      <c r="N1291" s="44" t="str">
        <f>IF(COUNTA(B1291)&gt;0,C5,"")</f>
        <v/>
      </c>
      <c r="AO1291" t="str">
        <f t="shared" si="21"/>
        <v/>
      </c>
    </row>
    <row r="1292" spans="1:41" x14ac:dyDescent="0.2">
      <c r="A1292" s="44" t="str">
        <f>IF(COUNTA(B1292)&gt;0,1284,"")</f>
        <v/>
      </c>
      <c r="G1292" s="25" t="str">
        <f t="shared" si="0"/>
        <v/>
      </c>
      <c r="N1292" s="44" t="str">
        <f>IF(COUNTA(B1292)&gt;0,C5,"")</f>
        <v/>
      </c>
      <c r="AO1292" t="str">
        <f t="shared" si="21"/>
        <v/>
      </c>
    </row>
    <row r="1293" spans="1:41" x14ac:dyDescent="0.2">
      <c r="A1293" s="44" t="str">
        <f>IF(COUNTA(B1293)&gt;0,1285,"")</f>
        <v/>
      </c>
      <c r="G1293" s="25" t="str">
        <f t="shared" si="0"/>
        <v/>
      </c>
      <c r="N1293" s="44" t="str">
        <f>IF(COUNTA(B1293)&gt;0,C5,"")</f>
        <v/>
      </c>
      <c r="AO1293" t="str">
        <f t="shared" si="21"/>
        <v/>
      </c>
    </row>
    <row r="1294" spans="1:41" x14ac:dyDescent="0.2">
      <c r="A1294" s="44" t="str">
        <f>IF(COUNTA(B1294)&gt;0,1286,"")</f>
        <v/>
      </c>
      <c r="G1294" s="25" t="str">
        <f t="shared" si="0"/>
        <v/>
      </c>
      <c r="N1294" s="44" t="str">
        <f>IF(COUNTA(B1294)&gt;0,C5,"")</f>
        <v/>
      </c>
      <c r="AO1294" t="str">
        <f t="shared" si="21"/>
        <v/>
      </c>
    </row>
    <row r="1295" spans="1:41" x14ac:dyDescent="0.2">
      <c r="A1295" s="44" t="str">
        <f>IF(COUNTA(B1295)&gt;0,1287,"")</f>
        <v/>
      </c>
      <c r="G1295" s="25" t="str">
        <f t="shared" si="0"/>
        <v/>
      </c>
      <c r="N1295" s="44" t="str">
        <f>IF(COUNTA(B1295)&gt;0,C5,"")</f>
        <v/>
      </c>
      <c r="AO1295" t="str">
        <f t="shared" si="21"/>
        <v/>
      </c>
    </row>
    <row r="1296" spans="1:41" x14ac:dyDescent="0.2">
      <c r="A1296" s="44" t="str">
        <f>IF(COUNTA(B1296)&gt;0,1288,"")</f>
        <v/>
      </c>
      <c r="G1296" s="25" t="str">
        <f t="shared" si="0"/>
        <v/>
      </c>
      <c r="N1296" s="44" t="str">
        <f>IF(COUNTA(B1296)&gt;0,C5,"")</f>
        <v/>
      </c>
      <c r="AO1296" t="str">
        <f t="shared" si="21"/>
        <v/>
      </c>
    </row>
    <row r="1297" spans="1:41" x14ac:dyDescent="0.2">
      <c r="A1297" s="44" t="str">
        <f>IF(COUNTA(B1297)&gt;0,1289,"")</f>
        <v/>
      </c>
      <c r="G1297" s="25" t="str">
        <f t="shared" si="0"/>
        <v/>
      </c>
      <c r="N1297" s="44" t="str">
        <f>IF(COUNTA(B1297)&gt;0,C5,"")</f>
        <v/>
      </c>
      <c r="AO1297" t="str">
        <f t="shared" si="21"/>
        <v/>
      </c>
    </row>
    <row r="1298" spans="1:41" x14ac:dyDescent="0.2">
      <c r="A1298" s="44" t="str">
        <f>IF(COUNTA(B1298)&gt;0,1290,"")</f>
        <v/>
      </c>
      <c r="G1298" s="25" t="str">
        <f t="shared" si="0"/>
        <v/>
      </c>
      <c r="N1298" s="44" t="str">
        <f>IF(COUNTA(B1298)&gt;0,C5,"")</f>
        <v/>
      </c>
      <c r="AO1298" t="str">
        <f t="shared" si="21"/>
        <v/>
      </c>
    </row>
    <row r="1299" spans="1:41" x14ac:dyDescent="0.2">
      <c r="A1299" s="44" t="str">
        <f>IF(COUNTA(B1299)&gt;0,1291,"")</f>
        <v/>
      </c>
      <c r="G1299" s="25" t="str">
        <f t="shared" si="0"/>
        <v/>
      </c>
      <c r="N1299" s="44" t="str">
        <f>IF(COUNTA(B1299)&gt;0,C5,"")</f>
        <v/>
      </c>
      <c r="AO1299" t="str">
        <f t="shared" si="21"/>
        <v/>
      </c>
    </row>
    <row r="1300" spans="1:41" x14ac:dyDescent="0.2">
      <c r="A1300" s="44" t="str">
        <f>IF(COUNTA(B1300)&gt;0,1292,"")</f>
        <v/>
      </c>
      <c r="G1300" s="25" t="str">
        <f t="shared" si="0"/>
        <v/>
      </c>
      <c r="N1300" s="44" t="str">
        <f>IF(COUNTA(B1300)&gt;0,C5,"")</f>
        <v/>
      </c>
      <c r="AO1300" t="str">
        <f t="shared" si="21"/>
        <v/>
      </c>
    </row>
    <row r="1301" spans="1:41" x14ac:dyDescent="0.2">
      <c r="A1301" s="44" t="str">
        <f>IF(COUNTA(B1301)&gt;0,1293,"")</f>
        <v/>
      </c>
      <c r="G1301" s="25" t="str">
        <f t="shared" si="0"/>
        <v/>
      </c>
      <c r="N1301" s="44" t="str">
        <f>IF(COUNTA(B1301)&gt;0,C5,"")</f>
        <v/>
      </c>
      <c r="AO1301" t="str">
        <f t="shared" si="21"/>
        <v/>
      </c>
    </row>
    <row r="1302" spans="1:41" x14ac:dyDescent="0.2">
      <c r="A1302" s="44" t="str">
        <f>IF(COUNTA(B1302)&gt;0,1294,"")</f>
        <v/>
      </c>
      <c r="G1302" s="25" t="str">
        <f t="shared" si="0"/>
        <v/>
      </c>
      <c r="N1302" s="44" t="str">
        <f>IF(COUNTA(B1302)&gt;0,C5,"")</f>
        <v/>
      </c>
      <c r="AO1302" t="str">
        <f t="shared" si="21"/>
        <v/>
      </c>
    </row>
    <row r="1303" spans="1:41" x14ac:dyDescent="0.2">
      <c r="A1303" s="44" t="str">
        <f>IF(COUNTA(B1303)&gt;0,1295,"")</f>
        <v/>
      </c>
      <c r="G1303" s="25" t="str">
        <f t="shared" si="0"/>
        <v/>
      </c>
      <c r="N1303" s="44" t="str">
        <f>IF(COUNTA(B1303)&gt;0,C5,"")</f>
        <v/>
      </c>
      <c r="AO1303" t="str">
        <f t="shared" si="21"/>
        <v/>
      </c>
    </row>
    <row r="1304" spans="1:41" x14ac:dyDescent="0.2">
      <c r="A1304" s="44" t="str">
        <f>IF(COUNTA(B1304)&gt;0,1296,"")</f>
        <v/>
      </c>
      <c r="G1304" s="25" t="str">
        <f t="shared" si="0"/>
        <v/>
      </c>
      <c r="N1304" s="44" t="str">
        <f>IF(COUNTA(B1304)&gt;0,C5,"")</f>
        <v/>
      </c>
      <c r="AO1304" t="str">
        <f t="shared" si="21"/>
        <v/>
      </c>
    </row>
    <row r="1305" spans="1:41" x14ac:dyDescent="0.2">
      <c r="A1305" s="44" t="str">
        <f>IF(COUNTA(B1305)&gt;0,1297,"")</f>
        <v/>
      </c>
      <c r="G1305" s="25" t="str">
        <f t="shared" si="0"/>
        <v/>
      </c>
      <c r="N1305" s="44" t="str">
        <f>IF(COUNTA(B1305)&gt;0,C5,"")</f>
        <v/>
      </c>
      <c r="AO1305" t="str">
        <f t="shared" si="21"/>
        <v/>
      </c>
    </row>
    <row r="1306" spans="1:41" x14ac:dyDescent="0.2">
      <c r="A1306" s="44" t="str">
        <f>IF(COUNTA(B1306)&gt;0,1298,"")</f>
        <v/>
      </c>
      <c r="G1306" s="25" t="str">
        <f t="shared" si="0"/>
        <v/>
      </c>
      <c r="N1306" s="44" t="str">
        <f>IF(COUNTA(B1306)&gt;0,C5,"")</f>
        <v/>
      </c>
      <c r="AO1306" t="str">
        <f t="shared" si="21"/>
        <v/>
      </c>
    </row>
    <row r="1307" spans="1:41" x14ac:dyDescent="0.2">
      <c r="A1307" s="44" t="str">
        <f>IF(COUNTA(B1307)&gt;0,1299,"")</f>
        <v/>
      </c>
      <c r="G1307" s="25" t="str">
        <f t="shared" si="0"/>
        <v/>
      </c>
      <c r="N1307" s="44" t="str">
        <f>IF(COUNTA(B1307)&gt;0,C5,"")</f>
        <v/>
      </c>
      <c r="AO1307" t="str">
        <f t="shared" si="21"/>
        <v/>
      </c>
    </row>
    <row r="1308" spans="1:41" x14ac:dyDescent="0.2">
      <c r="A1308" s="44" t="str">
        <f>IF(COUNTA(B1308)&gt;0,1300,"")</f>
        <v/>
      </c>
      <c r="G1308" s="25" t="str">
        <f t="shared" si="0"/>
        <v/>
      </c>
      <c r="N1308" s="44" t="str">
        <f>IF(COUNTA(B1308)&gt;0,C5,"")</f>
        <v/>
      </c>
      <c r="AO1308" t="str">
        <f t="shared" si="21"/>
        <v/>
      </c>
    </row>
    <row r="1309" spans="1:41" x14ac:dyDescent="0.2">
      <c r="A1309" s="44" t="str">
        <f>IF(COUNTA(B1309)&gt;0,1301,"")</f>
        <v/>
      </c>
      <c r="G1309" s="25" t="str">
        <f t="shared" si="0"/>
        <v/>
      </c>
      <c r="N1309" s="44" t="str">
        <f>IF(COUNTA(B1309)&gt;0,C5,"")</f>
        <v/>
      </c>
      <c r="AO1309" t="str">
        <f t="shared" si="21"/>
        <v/>
      </c>
    </row>
    <row r="1310" spans="1:41" x14ac:dyDescent="0.2">
      <c r="A1310" s="44" t="str">
        <f>IF(COUNTA(B1310)&gt;0,1302,"")</f>
        <v/>
      </c>
      <c r="G1310" s="25" t="str">
        <f t="shared" si="0"/>
        <v/>
      </c>
      <c r="N1310" s="44" t="str">
        <f>IF(COUNTA(B1310)&gt;0,C5,"")</f>
        <v/>
      </c>
      <c r="AO1310" t="str">
        <f t="shared" si="21"/>
        <v/>
      </c>
    </row>
    <row r="1311" spans="1:41" x14ac:dyDescent="0.2">
      <c r="A1311" s="44" t="str">
        <f>IF(COUNTA(B1311)&gt;0,1303,"")</f>
        <v/>
      </c>
      <c r="G1311" s="25" t="str">
        <f t="shared" si="0"/>
        <v/>
      </c>
      <c r="N1311" s="44" t="str">
        <f>IF(COUNTA(B1311)&gt;0,C5,"")</f>
        <v/>
      </c>
      <c r="AO1311" t="str">
        <f t="shared" si="21"/>
        <v/>
      </c>
    </row>
    <row r="1312" spans="1:41" x14ac:dyDescent="0.2">
      <c r="A1312" s="44" t="str">
        <f>IF(COUNTA(B1312)&gt;0,1304,"")</f>
        <v/>
      </c>
      <c r="G1312" s="25" t="str">
        <f t="shared" si="0"/>
        <v/>
      </c>
      <c r="N1312" s="44" t="str">
        <f>IF(COUNTA(B1312)&gt;0,C5,"")</f>
        <v/>
      </c>
      <c r="AO1312" t="str">
        <f t="shared" si="21"/>
        <v/>
      </c>
    </row>
    <row r="1313" spans="1:41" x14ac:dyDescent="0.2">
      <c r="A1313" s="44" t="str">
        <f>IF(COUNTA(B1313)&gt;0,1305,"")</f>
        <v/>
      </c>
      <c r="G1313" s="25" t="str">
        <f t="shared" si="0"/>
        <v/>
      </c>
      <c r="N1313" s="44" t="str">
        <f>IF(COUNTA(B1313)&gt;0,C5,"")</f>
        <v/>
      </c>
      <c r="AO1313" t="str">
        <f t="shared" si="21"/>
        <v/>
      </c>
    </row>
    <row r="1314" spans="1:41" x14ac:dyDescent="0.2">
      <c r="A1314" s="44" t="str">
        <f>IF(COUNTA(B1314)&gt;0,1306,"")</f>
        <v/>
      </c>
      <c r="G1314" s="25" t="str">
        <f t="shared" si="0"/>
        <v/>
      </c>
      <c r="N1314" s="44" t="str">
        <f>IF(COUNTA(B1314)&gt;0,C5,"")</f>
        <v/>
      </c>
      <c r="AO1314" t="str">
        <f t="shared" si="21"/>
        <v/>
      </c>
    </row>
    <row r="1315" spans="1:41" x14ac:dyDescent="0.2">
      <c r="A1315" s="44" t="str">
        <f>IF(COUNTA(B1315)&gt;0,1307,"")</f>
        <v/>
      </c>
      <c r="G1315" s="25" t="str">
        <f t="shared" si="0"/>
        <v/>
      </c>
      <c r="N1315" s="44" t="str">
        <f>IF(COUNTA(B1315)&gt;0,C5,"")</f>
        <v/>
      </c>
      <c r="AO1315" t="str">
        <f t="shared" si="21"/>
        <v/>
      </c>
    </row>
    <row r="1316" spans="1:41" x14ac:dyDescent="0.2">
      <c r="A1316" s="44" t="str">
        <f>IF(COUNTA(B1316)&gt;0,1308,"")</f>
        <v/>
      </c>
      <c r="G1316" s="25" t="str">
        <f t="shared" si="0"/>
        <v/>
      </c>
      <c r="N1316" s="44" t="str">
        <f>IF(COUNTA(B1316)&gt;0,C5,"")</f>
        <v/>
      </c>
      <c r="AO1316" t="str">
        <f t="shared" si="21"/>
        <v/>
      </c>
    </row>
    <row r="1317" spans="1:41" x14ac:dyDescent="0.2">
      <c r="A1317" s="44" t="str">
        <f>IF(COUNTA(B1317)&gt;0,1309,"")</f>
        <v/>
      </c>
      <c r="G1317" s="25" t="str">
        <f t="shared" si="0"/>
        <v/>
      </c>
      <c r="N1317" s="44" t="str">
        <f>IF(COUNTA(B1317)&gt;0,C5,"")</f>
        <v/>
      </c>
      <c r="AO1317" t="str">
        <f t="shared" si="21"/>
        <v/>
      </c>
    </row>
    <row r="1318" spans="1:41" x14ac:dyDescent="0.2">
      <c r="A1318" s="44" t="str">
        <f>IF(COUNTA(B1318)&gt;0,1310,"")</f>
        <v/>
      </c>
      <c r="G1318" s="25" t="str">
        <f t="shared" si="0"/>
        <v/>
      </c>
      <c r="N1318" s="44" t="str">
        <f>IF(COUNTA(B1318)&gt;0,C5,"")</f>
        <v/>
      </c>
      <c r="AO1318" t="str">
        <f t="shared" si="21"/>
        <v/>
      </c>
    </row>
    <row r="1319" spans="1:41" x14ac:dyDescent="0.2">
      <c r="A1319" s="44" t="str">
        <f>IF(COUNTA(B1319)&gt;0,1311,"")</f>
        <v/>
      </c>
      <c r="G1319" s="25" t="str">
        <f t="shared" si="0"/>
        <v/>
      </c>
      <c r="N1319" s="44" t="str">
        <f>IF(COUNTA(B1319)&gt;0,C5,"")</f>
        <v/>
      </c>
      <c r="AO1319" t="str">
        <f t="shared" si="21"/>
        <v/>
      </c>
    </row>
    <row r="1320" spans="1:41" x14ac:dyDescent="0.2">
      <c r="A1320" s="44" t="str">
        <f>IF(COUNTA(B1320)&gt;0,1312,"")</f>
        <v/>
      </c>
      <c r="G1320" s="25" t="str">
        <f t="shared" si="0"/>
        <v/>
      </c>
      <c r="N1320" s="44" t="str">
        <f>IF(COUNTA(B1320)&gt;0,C5,"")</f>
        <v/>
      </c>
      <c r="AO1320" t="str">
        <f t="shared" si="21"/>
        <v/>
      </c>
    </row>
    <row r="1321" spans="1:41" x14ac:dyDescent="0.2">
      <c r="A1321" s="44" t="str">
        <f>IF(COUNTA(B1321)&gt;0,1313,"")</f>
        <v/>
      </c>
      <c r="G1321" s="25" t="str">
        <f t="shared" si="0"/>
        <v/>
      </c>
      <c r="N1321" s="44" t="str">
        <f>IF(COUNTA(B1321)&gt;0,C5,"")</f>
        <v/>
      </c>
      <c r="AO1321" t="str">
        <f t="shared" si="21"/>
        <v/>
      </c>
    </row>
    <row r="1322" spans="1:41" x14ac:dyDescent="0.2">
      <c r="A1322" s="44" t="str">
        <f>IF(COUNTA(B1322)&gt;0,1314,"")</f>
        <v/>
      </c>
      <c r="G1322" s="25" t="str">
        <f t="shared" si="0"/>
        <v/>
      </c>
      <c r="N1322" s="44" t="str">
        <f>IF(COUNTA(B1322)&gt;0,C5,"")</f>
        <v/>
      </c>
      <c r="AO1322" t="str">
        <f t="shared" si="21"/>
        <v/>
      </c>
    </row>
    <row r="1323" spans="1:41" x14ac:dyDescent="0.2">
      <c r="A1323" s="44" t="str">
        <f>IF(COUNTA(B1323)&gt;0,1315,"")</f>
        <v/>
      </c>
      <c r="G1323" s="25" t="str">
        <f t="shared" si="0"/>
        <v/>
      </c>
      <c r="N1323" s="44" t="str">
        <f>IF(COUNTA(B1323)&gt;0,C5,"")</f>
        <v/>
      </c>
      <c r="AO1323" t="str">
        <f t="shared" si="21"/>
        <v/>
      </c>
    </row>
    <row r="1324" spans="1:41" x14ac:dyDescent="0.2">
      <c r="A1324" s="44" t="str">
        <f>IF(COUNTA(B1324)&gt;0,1316,"")</f>
        <v/>
      </c>
      <c r="G1324" s="25" t="str">
        <f t="shared" si="0"/>
        <v/>
      </c>
      <c r="N1324" s="44" t="str">
        <f>IF(COUNTA(B1324)&gt;0,C5,"")</f>
        <v/>
      </c>
      <c r="AO1324" t="str">
        <f t="shared" si="21"/>
        <v/>
      </c>
    </row>
    <row r="1325" spans="1:41" x14ac:dyDescent="0.2">
      <c r="A1325" s="44" t="str">
        <f>IF(COUNTA(B1325)&gt;0,1317,"")</f>
        <v/>
      </c>
      <c r="G1325" s="25" t="str">
        <f t="shared" si="0"/>
        <v/>
      </c>
      <c r="N1325" s="44" t="str">
        <f>IF(COUNTA(B1325)&gt;0,C5,"")</f>
        <v/>
      </c>
      <c r="AO1325" t="str">
        <f t="shared" si="21"/>
        <v/>
      </c>
    </row>
    <row r="1326" spans="1:41" x14ac:dyDescent="0.2">
      <c r="A1326" s="44" t="str">
        <f>IF(COUNTA(B1326)&gt;0,1318,"")</f>
        <v/>
      </c>
      <c r="G1326" s="25" t="str">
        <f t="shared" si="0"/>
        <v/>
      </c>
      <c r="N1326" s="44" t="str">
        <f>IF(COUNTA(B1326)&gt;0,C5,"")</f>
        <v/>
      </c>
      <c r="AO1326" t="str">
        <f t="shared" si="21"/>
        <v/>
      </c>
    </row>
    <row r="1327" spans="1:41" x14ac:dyDescent="0.2">
      <c r="A1327" s="44" t="str">
        <f>IF(COUNTA(B1327)&gt;0,1319,"")</f>
        <v/>
      </c>
      <c r="G1327" s="25" t="str">
        <f t="shared" si="0"/>
        <v/>
      </c>
      <c r="N1327" s="44" t="str">
        <f>IF(COUNTA(B1327)&gt;0,C5,"")</f>
        <v/>
      </c>
      <c r="AO1327" t="str">
        <f t="shared" si="21"/>
        <v/>
      </c>
    </row>
    <row r="1328" spans="1:41" x14ac:dyDescent="0.2">
      <c r="A1328" s="44" t="str">
        <f>IF(COUNTA(B1328)&gt;0,1320,"")</f>
        <v/>
      </c>
      <c r="G1328" s="25" t="str">
        <f t="shared" si="0"/>
        <v/>
      </c>
      <c r="N1328" s="44" t="str">
        <f>IF(COUNTA(B1328)&gt;0,C5,"")</f>
        <v/>
      </c>
      <c r="AO1328" t="str">
        <f t="shared" si="21"/>
        <v/>
      </c>
    </row>
    <row r="1329" spans="1:41" x14ac:dyDescent="0.2">
      <c r="A1329" s="44" t="str">
        <f>IF(COUNTA(B1329)&gt;0,1321,"")</f>
        <v/>
      </c>
      <c r="G1329" s="25" t="str">
        <f t="shared" si="0"/>
        <v/>
      </c>
      <c r="N1329" s="44" t="str">
        <f>IF(COUNTA(B1329)&gt;0,C5,"")</f>
        <v/>
      </c>
      <c r="AO1329" t="str">
        <f t="shared" si="21"/>
        <v/>
      </c>
    </row>
    <row r="1330" spans="1:41" x14ac:dyDescent="0.2">
      <c r="A1330" s="44" t="str">
        <f>IF(COUNTA(B1330)&gt;0,1322,"")</f>
        <v/>
      </c>
      <c r="G1330" s="25" t="str">
        <f t="shared" si="0"/>
        <v/>
      </c>
      <c r="N1330" s="44" t="str">
        <f>IF(COUNTA(B1330)&gt;0,C5,"")</f>
        <v/>
      </c>
      <c r="AO1330" t="str">
        <f t="shared" si="21"/>
        <v/>
      </c>
    </row>
    <row r="1331" spans="1:41" x14ac:dyDescent="0.2">
      <c r="A1331" s="44" t="str">
        <f>IF(COUNTA(B1331)&gt;0,1323,"")</f>
        <v/>
      </c>
      <c r="G1331" s="25" t="str">
        <f t="shared" si="0"/>
        <v/>
      </c>
      <c r="N1331" s="44" t="str">
        <f>IF(COUNTA(B1331)&gt;0,C5,"")</f>
        <v/>
      </c>
      <c r="AO1331" t="str">
        <f t="shared" si="21"/>
        <v/>
      </c>
    </row>
    <row r="1332" spans="1:41" x14ac:dyDescent="0.2">
      <c r="A1332" s="44" t="str">
        <f>IF(COUNTA(B1332)&gt;0,1324,"")</f>
        <v/>
      </c>
      <c r="G1332" s="25" t="str">
        <f t="shared" si="0"/>
        <v/>
      </c>
      <c r="N1332" s="44" t="str">
        <f>IF(COUNTA(B1332)&gt;0,C5,"")</f>
        <v/>
      </c>
      <c r="AO1332" t="str">
        <f t="shared" si="21"/>
        <v/>
      </c>
    </row>
    <row r="1333" spans="1:41" x14ac:dyDescent="0.2">
      <c r="A1333" s="44" t="str">
        <f>IF(COUNTA(B1333)&gt;0,1325,"")</f>
        <v/>
      </c>
      <c r="G1333" s="25" t="str">
        <f t="shared" si="0"/>
        <v/>
      </c>
      <c r="N1333" s="44" t="str">
        <f>IF(COUNTA(B1333)&gt;0,C5,"")</f>
        <v/>
      </c>
      <c r="AO1333" t="str">
        <f t="shared" si="21"/>
        <v/>
      </c>
    </row>
    <row r="1334" spans="1:41" x14ac:dyDescent="0.2">
      <c r="A1334" s="44" t="str">
        <f>IF(COUNTA(B1334)&gt;0,1326,"")</f>
        <v/>
      </c>
      <c r="G1334" s="25" t="str">
        <f t="shared" si="0"/>
        <v/>
      </c>
      <c r="N1334" s="44" t="str">
        <f>IF(COUNTA(B1334)&gt;0,C5,"")</f>
        <v/>
      </c>
      <c r="AO1334" t="str">
        <f t="shared" si="21"/>
        <v/>
      </c>
    </row>
    <row r="1335" spans="1:41" x14ac:dyDescent="0.2">
      <c r="A1335" s="44" t="str">
        <f>IF(COUNTA(B1335)&gt;0,1327,"")</f>
        <v/>
      </c>
      <c r="G1335" s="25" t="str">
        <f t="shared" si="0"/>
        <v/>
      </c>
      <c r="N1335" s="44" t="str">
        <f>IF(COUNTA(B1335)&gt;0,C5,"")</f>
        <v/>
      </c>
      <c r="AO1335" t="str">
        <f t="shared" si="21"/>
        <v/>
      </c>
    </row>
    <row r="1336" spans="1:41" x14ac:dyDescent="0.2">
      <c r="A1336" s="44" t="str">
        <f>IF(COUNTA(B1336)&gt;0,1328,"")</f>
        <v/>
      </c>
      <c r="G1336" s="25" t="str">
        <f t="shared" si="0"/>
        <v/>
      </c>
      <c r="N1336" s="44" t="str">
        <f>IF(COUNTA(B1336)&gt;0,C5,"")</f>
        <v/>
      </c>
      <c r="AO1336" t="str">
        <f t="shared" si="21"/>
        <v/>
      </c>
    </row>
    <row r="1337" spans="1:41" x14ac:dyDescent="0.2">
      <c r="A1337" s="44" t="str">
        <f>IF(COUNTA(B1337)&gt;0,1329,"")</f>
        <v/>
      </c>
      <c r="G1337" s="25" t="str">
        <f t="shared" si="0"/>
        <v/>
      </c>
      <c r="N1337" s="44" t="str">
        <f>IF(COUNTA(B1337)&gt;0,C5,"")</f>
        <v/>
      </c>
      <c r="AO1337" t="str">
        <f t="shared" si="21"/>
        <v/>
      </c>
    </row>
    <row r="1338" spans="1:41" x14ac:dyDescent="0.2">
      <c r="A1338" s="44" t="str">
        <f>IF(COUNTA(B1338)&gt;0,1330,"")</f>
        <v/>
      </c>
      <c r="G1338" s="25" t="str">
        <f t="shared" si="0"/>
        <v/>
      </c>
      <c r="N1338" s="44" t="str">
        <f>IF(COUNTA(B1338)&gt;0,C5,"")</f>
        <v/>
      </c>
      <c r="AO1338" t="str">
        <f t="shared" si="21"/>
        <v/>
      </c>
    </row>
    <row r="1339" spans="1:41" x14ac:dyDescent="0.2">
      <c r="A1339" s="44" t="str">
        <f>IF(COUNTA(B1339)&gt;0,1331,"")</f>
        <v/>
      </c>
      <c r="G1339" s="25" t="str">
        <f t="shared" si="0"/>
        <v/>
      </c>
      <c r="N1339" s="44" t="str">
        <f>IF(COUNTA(B1339)&gt;0,C5,"")</f>
        <v/>
      </c>
      <c r="AO1339" t="str">
        <f t="shared" si="21"/>
        <v/>
      </c>
    </row>
    <row r="1340" spans="1:41" x14ac:dyDescent="0.2">
      <c r="A1340" s="44" t="str">
        <f>IF(COUNTA(B1340)&gt;0,1332,"")</f>
        <v/>
      </c>
      <c r="G1340" s="25" t="str">
        <f t="shared" si="0"/>
        <v/>
      </c>
      <c r="N1340" s="44" t="str">
        <f>IF(COUNTA(B1340)&gt;0,C5,"")</f>
        <v/>
      </c>
      <c r="AO1340" t="str">
        <f t="shared" si="21"/>
        <v/>
      </c>
    </row>
    <row r="1341" spans="1:41" x14ac:dyDescent="0.2">
      <c r="A1341" s="44" t="str">
        <f>IF(COUNTA(B1341)&gt;0,1333,"")</f>
        <v/>
      </c>
      <c r="G1341" s="25" t="str">
        <f t="shared" si="0"/>
        <v/>
      </c>
      <c r="N1341" s="44" t="str">
        <f>IF(COUNTA(B1341)&gt;0,C5,"")</f>
        <v/>
      </c>
      <c r="AO1341" t="str">
        <f t="shared" si="21"/>
        <v/>
      </c>
    </row>
    <row r="1342" spans="1:41" x14ac:dyDescent="0.2">
      <c r="A1342" s="44" t="str">
        <f>IF(COUNTA(B1342)&gt;0,1334,"")</f>
        <v/>
      </c>
      <c r="G1342" s="25" t="str">
        <f t="shared" si="0"/>
        <v/>
      </c>
      <c r="N1342" s="44" t="str">
        <f>IF(COUNTA(B1342)&gt;0,C5,"")</f>
        <v/>
      </c>
      <c r="AO1342" t="str">
        <f t="shared" si="21"/>
        <v/>
      </c>
    </row>
    <row r="1343" spans="1:41" x14ac:dyDescent="0.2">
      <c r="A1343" s="44" t="str">
        <f>IF(COUNTA(B1343)&gt;0,1335,"")</f>
        <v/>
      </c>
      <c r="G1343" s="25" t="str">
        <f t="shared" si="0"/>
        <v/>
      </c>
      <c r="N1343" s="44" t="str">
        <f>IF(COUNTA(B1343)&gt;0,C5,"")</f>
        <v/>
      </c>
      <c r="AO1343" t="str">
        <f t="shared" si="21"/>
        <v/>
      </c>
    </row>
    <row r="1344" spans="1:41" x14ac:dyDescent="0.2">
      <c r="A1344" s="44" t="str">
        <f>IF(COUNTA(B1344)&gt;0,1336,"")</f>
        <v/>
      </c>
      <c r="G1344" s="25" t="str">
        <f t="shared" si="0"/>
        <v/>
      </c>
      <c r="N1344" s="44" t="str">
        <f>IF(COUNTA(B1344)&gt;0,C5,"")</f>
        <v/>
      </c>
      <c r="AO1344" t="str">
        <f t="shared" si="21"/>
        <v/>
      </c>
    </row>
    <row r="1345" spans="1:41" x14ac:dyDescent="0.2">
      <c r="A1345" s="44" t="str">
        <f>IF(COUNTA(B1345)&gt;0,1337,"")</f>
        <v/>
      </c>
      <c r="G1345" s="25" t="str">
        <f t="shared" si="0"/>
        <v/>
      </c>
      <c r="N1345" s="44" t="str">
        <f>IF(COUNTA(B1345)&gt;0,C5,"")</f>
        <v/>
      </c>
      <c r="AO1345" t="str">
        <f t="shared" si="21"/>
        <v/>
      </c>
    </row>
    <row r="1346" spans="1:41" x14ac:dyDescent="0.2">
      <c r="A1346" s="44" t="str">
        <f>IF(COUNTA(B1346)&gt;0,1338,"")</f>
        <v/>
      </c>
      <c r="G1346" s="25" t="str">
        <f t="shared" si="0"/>
        <v/>
      </c>
      <c r="N1346" s="44" t="str">
        <f>IF(COUNTA(B1346)&gt;0,C5,"")</f>
        <v/>
      </c>
      <c r="AO1346" t="str">
        <f t="shared" si="21"/>
        <v/>
      </c>
    </row>
    <row r="1347" spans="1:41" x14ac:dyDescent="0.2">
      <c r="A1347" s="44" t="str">
        <f>IF(COUNTA(B1347)&gt;0,1339,"")</f>
        <v/>
      </c>
      <c r="G1347" s="25" t="str">
        <f t="shared" si="0"/>
        <v/>
      </c>
      <c r="N1347" s="44" t="str">
        <f>IF(COUNTA(B1347)&gt;0,C5,"")</f>
        <v/>
      </c>
      <c r="AO1347" t="str">
        <f t="shared" si="21"/>
        <v/>
      </c>
    </row>
    <row r="1348" spans="1:41" x14ac:dyDescent="0.2">
      <c r="A1348" s="44" t="str">
        <f>IF(COUNTA(B1348)&gt;0,1340,"")</f>
        <v/>
      </c>
      <c r="G1348" s="25" t="str">
        <f t="shared" si="0"/>
        <v/>
      </c>
      <c r="N1348" s="44" t="str">
        <f>IF(COUNTA(B1348)&gt;0,C5,"")</f>
        <v/>
      </c>
      <c r="AO1348" t="str">
        <f t="shared" si="21"/>
        <v/>
      </c>
    </row>
    <row r="1349" spans="1:41" x14ac:dyDescent="0.2">
      <c r="A1349" s="44" t="str">
        <f>IF(COUNTA(B1349)&gt;0,1341,"")</f>
        <v/>
      </c>
      <c r="G1349" s="25" t="str">
        <f t="shared" si="0"/>
        <v/>
      </c>
      <c r="N1349" s="44" t="str">
        <f>IF(COUNTA(B1349)&gt;0,C5,"")</f>
        <v/>
      </c>
      <c r="AO1349" t="str">
        <f t="shared" si="21"/>
        <v/>
      </c>
    </row>
    <row r="1350" spans="1:41" x14ac:dyDescent="0.2">
      <c r="A1350" s="44" t="str">
        <f>IF(COUNTA(B1350)&gt;0,1342,"")</f>
        <v/>
      </c>
      <c r="G1350" s="25" t="str">
        <f t="shared" si="0"/>
        <v/>
      </c>
      <c r="N1350" s="44" t="str">
        <f>IF(COUNTA(B1350)&gt;0,C5,"")</f>
        <v/>
      </c>
      <c r="AO1350" t="str">
        <f t="shared" si="21"/>
        <v/>
      </c>
    </row>
    <row r="1351" spans="1:41" x14ac:dyDescent="0.2">
      <c r="A1351" s="44" t="str">
        <f>IF(COUNTA(B1351)&gt;0,1343,"")</f>
        <v/>
      </c>
      <c r="G1351" s="25" t="str">
        <f t="shared" si="0"/>
        <v/>
      </c>
      <c r="N1351" s="44" t="str">
        <f>IF(COUNTA(B1351)&gt;0,C5,"")</f>
        <v/>
      </c>
      <c r="AO1351" t="str">
        <f t="shared" si="21"/>
        <v/>
      </c>
    </row>
    <row r="1352" spans="1:41" x14ac:dyDescent="0.2">
      <c r="A1352" s="44" t="str">
        <f>IF(COUNTA(B1352)&gt;0,1344,"")</f>
        <v/>
      </c>
      <c r="G1352" s="25" t="str">
        <f t="shared" si="0"/>
        <v/>
      </c>
      <c r="N1352" s="44" t="str">
        <f>IF(COUNTA(B1352)&gt;0,C5,"")</f>
        <v/>
      </c>
      <c r="AO1352" t="str">
        <f t="shared" si="21"/>
        <v/>
      </c>
    </row>
    <row r="1353" spans="1:41" x14ac:dyDescent="0.2">
      <c r="A1353" s="44" t="str">
        <f>IF(COUNTA(B1353)&gt;0,1345,"")</f>
        <v/>
      </c>
      <c r="G1353" s="25" t="str">
        <f t="shared" si="0"/>
        <v/>
      </c>
      <c r="N1353" s="44" t="str">
        <f>IF(COUNTA(B1353)&gt;0,C5,"")</f>
        <v/>
      </c>
      <c r="AO1353" t="str">
        <f t="shared" ref="AO1353:AO1416" si="22">IF(COUNTA(L1353:M1353)&lt;&gt;0,"Có",IF(COUNTA(B1353)&gt;0,"Không",""))</f>
        <v/>
      </c>
    </row>
    <row r="1354" spans="1:41" x14ac:dyDescent="0.2">
      <c r="A1354" s="44" t="str">
        <f>IF(COUNTA(B1354)&gt;0,1346,"")</f>
        <v/>
      </c>
      <c r="G1354" s="25" t="str">
        <f t="shared" si="0"/>
        <v/>
      </c>
      <c r="N1354" s="44" t="str">
        <f>IF(COUNTA(B1354)&gt;0,C5,"")</f>
        <v/>
      </c>
      <c r="AO1354" t="str">
        <f t="shared" si="22"/>
        <v/>
      </c>
    </row>
    <row r="1355" spans="1:41" x14ac:dyDescent="0.2">
      <c r="A1355" s="44" t="str">
        <f>IF(COUNTA(B1355)&gt;0,1347,"")</f>
        <v/>
      </c>
      <c r="G1355" s="25" t="str">
        <f t="shared" si="0"/>
        <v/>
      </c>
      <c r="N1355" s="44" t="str">
        <f>IF(COUNTA(B1355)&gt;0,C5,"")</f>
        <v/>
      </c>
      <c r="AO1355" t="str">
        <f t="shared" si="22"/>
        <v/>
      </c>
    </row>
    <row r="1356" spans="1:41" x14ac:dyDescent="0.2">
      <c r="A1356" s="44" t="str">
        <f>IF(COUNTA(B1356)&gt;0,1348,"")</f>
        <v/>
      </c>
      <c r="G1356" s="25" t="str">
        <f t="shared" si="0"/>
        <v/>
      </c>
      <c r="N1356" s="44" t="str">
        <f>IF(COUNTA(B1356)&gt;0,C5,"")</f>
        <v/>
      </c>
      <c r="AO1356" t="str">
        <f t="shared" si="22"/>
        <v/>
      </c>
    </row>
    <row r="1357" spans="1:41" x14ac:dyDescent="0.2">
      <c r="A1357" s="44" t="str">
        <f>IF(COUNTA(B1357)&gt;0,1349,"")</f>
        <v/>
      </c>
      <c r="G1357" s="25" t="str">
        <f t="shared" si="0"/>
        <v/>
      </c>
      <c r="N1357" s="44" t="str">
        <f>IF(COUNTA(B1357)&gt;0,C5,"")</f>
        <v/>
      </c>
      <c r="AO1357" t="str">
        <f t="shared" si="22"/>
        <v/>
      </c>
    </row>
    <row r="1358" spans="1:41" x14ac:dyDescent="0.2">
      <c r="A1358" s="44" t="str">
        <f>IF(COUNTA(B1358)&gt;0,1350,"")</f>
        <v/>
      </c>
      <c r="G1358" s="25" t="str">
        <f t="shared" si="0"/>
        <v/>
      </c>
      <c r="N1358" s="44" t="str">
        <f>IF(COUNTA(B1358)&gt;0,C5,"")</f>
        <v/>
      </c>
      <c r="AO1358" t="str">
        <f t="shared" si="22"/>
        <v/>
      </c>
    </row>
    <row r="1359" spans="1:41" x14ac:dyDescent="0.2">
      <c r="A1359" s="44" t="str">
        <f>IF(COUNTA(B1359)&gt;0,1351,"")</f>
        <v/>
      </c>
      <c r="G1359" s="25" t="str">
        <f t="shared" si="0"/>
        <v/>
      </c>
      <c r="N1359" s="44" t="str">
        <f>IF(COUNTA(B1359)&gt;0,C5,"")</f>
        <v/>
      </c>
      <c r="AO1359" t="str">
        <f t="shared" si="22"/>
        <v/>
      </c>
    </row>
    <row r="1360" spans="1:41" x14ac:dyDescent="0.2">
      <c r="A1360" s="44" t="str">
        <f>IF(COUNTA(B1360)&gt;0,1352,"")</f>
        <v/>
      </c>
      <c r="G1360" s="25" t="str">
        <f t="shared" si="0"/>
        <v/>
      </c>
      <c r="N1360" s="44" t="str">
        <f>IF(COUNTA(B1360)&gt;0,C5,"")</f>
        <v/>
      </c>
      <c r="AO1360" t="str">
        <f t="shared" si="22"/>
        <v/>
      </c>
    </row>
    <row r="1361" spans="1:41" x14ac:dyDescent="0.2">
      <c r="A1361" s="44" t="str">
        <f>IF(COUNTA(B1361)&gt;0,1353,"")</f>
        <v/>
      </c>
      <c r="G1361" s="25" t="str">
        <f t="shared" si="0"/>
        <v/>
      </c>
      <c r="N1361" s="44" t="str">
        <f>IF(COUNTA(B1361)&gt;0,C5,"")</f>
        <v/>
      </c>
      <c r="AO1361" t="str">
        <f t="shared" si="22"/>
        <v/>
      </c>
    </row>
    <row r="1362" spans="1:41" x14ac:dyDescent="0.2">
      <c r="A1362" s="44" t="str">
        <f>IF(COUNTA(B1362)&gt;0,1354,"")</f>
        <v/>
      </c>
      <c r="G1362" s="25" t="str">
        <f t="shared" si="0"/>
        <v/>
      </c>
      <c r="N1362" s="44" t="str">
        <f>IF(COUNTA(B1362)&gt;0,C5,"")</f>
        <v/>
      </c>
      <c r="AO1362" t="str">
        <f t="shared" si="22"/>
        <v/>
      </c>
    </row>
    <row r="1363" spans="1:41" x14ac:dyDescent="0.2">
      <c r="A1363" s="44" t="str">
        <f>IF(COUNTA(B1363)&gt;0,1355,"")</f>
        <v/>
      </c>
      <c r="G1363" s="25" t="str">
        <f t="shared" si="0"/>
        <v/>
      </c>
      <c r="N1363" s="44" t="str">
        <f>IF(COUNTA(B1363)&gt;0,C5,"")</f>
        <v/>
      </c>
      <c r="AO1363" t="str">
        <f t="shared" si="22"/>
        <v/>
      </c>
    </row>
    <row r="1364" spans="1:41" x14ac:dyDescent="0.2">
      <c r="A1364" s="44" t="str">
        <f>IF(COUNTA(B1364)&gt;0,1356,"")</f>
        <v/>
      </c>
      <c r="G1364" s="25" t="str">
        <f t="shared" si="0"/>
        <v/>
      </c>
      <c r="N1364" s="44" t="str">
        <f>IF(COUNTA(B1364)&gt;0,C5,"")</f>
        <v/>
      </c>
      <c r="AO1364" t="str">
        <f t="shared" si="22"/>
        <v/>
      </c>
    </row>
    <row r="1365" spans="1:41" x14ac:dyDescent="0.2">
      <c r="A1365" s="44" t="str">
        <f>IF(COUNTA(B1365)&gt;0,1357,"")</f>
        <v/>
      </c>
      <c r="G1365" s="25" t="str">
        <f t="shared" si="0"/>
        <v/>
      </c>
      <c r="N1365" s="44" t="str">
        <f>IF(COUNTA(B1365)&gt;0,C5,"")</f>
        <v/>
      </c>
      <c r="AO1365" t="str">
        <f t="shared" si="22"/>
        <v/>
      </c>
    </row>
    <row r="1366" spans="1:41" x14ac:dyDescent="0.2">
      <c r="A1366" s="44" t="str">
        <f>IF(COUNTA(B1366)&gt;0,1358,"")</f>
        <v/>
      </c>
      <c r="G1366" s="25" t="str">
        <f t="shared" si="0"/>
        <v/>
      </c>
      <c r="N1366" s="44" t="str">
        <f>IF(COUNTA(B1366)&gt;0,C5,"")</f>
        <v/>
      </c>
      <c r="AO1366" t="str">
        <f t="shared" si="22"/>
        <v/>
      </c>
    </row>
    <row r="1367" spans="1:41" x14ac:dyDescent="0.2">
      <c r="A1367" s="44" t="str">
        <f>IF(COUNTA(B1367)&gt;0,1359,"")</f>
        <v/>
      </c>
      <c r="G1367" s="25" t="str">
        <f t="shared" si="0"/>
        <v/>
      </c>
      <c r="N1367" s="44" t="str">
        <f>IF(COUNTA(B1367)&gt;0,C5,"")</f>
        <v/>
      </c>
      <c r="AO1367" t="str">
        <f t="shared" si="22"/>
        <v/>
      </c>
    </row>
    <row r="1368" spans="1:41" x14ac:dyDescent="0.2">
      <c r="A1368" s="44" t="str">
        <f>IF(COUNTA(B1368)&gt;0,1360,"")</f>
        <v/>
      </c>
      <c r="G1368" s="25" t="str">
        <f t="shared" si="0"/>
        <v/>
      </c>
      <c r="N1368" s="44" t="str">
        <f>IF(COUNTA(B1368)&gt;0,C5,"")</f>
        <v/>
      </c>
      <c r="AO1368" t="str">
        <f t="shared" si="22"/>
        <v/>
      </c>
    </row>
    <row r="1369" spans="1:41" x14ac:dyDescent="0.2">
      <c r="A1369" s="44" t="str">
        <f>IF(COUNTA(B1369)&gt;0,1361,"")</f>
        <v/>
      </c>
      <c r="G1369" s="25" t="str">
        <f t="shared" si="0"/>
        <v/>
      </c>
      <c r="N1369" s="44" t="str">
        <f>IF(COUNTA(B1369)&gt;0,C5,"")</f>
        <v/>
      </c>
      <c r="AO1369" t="str">
        <f t="shared" si="22"/>
        <v/>
      </c>
    </row>
    <row r="1370" spans="1:41" x14ac:dyDescent="0.2">
      <c r="A1370" s="44" t="str">
        <f>IF(COUNTA(B1370)&gt;0,1362,"")</f>
        <v/>
      </c>
      <c r="G1370" s="25" t="str">
        <f t="shared" si="0"/>
        <v/>
      </c>
      <c r="N1370" s="44" t="str">
        <f>IF(COUNTA(B1370)&gt;0,C5,"")</f>
        <v/>
      </c>
      <c r="AO1370" t="str">
        <f t="shared" si="22"/>
        <v/>
      </c>
    </row>
    <row r="1371" spans="1:41" x14ac:dyDescent="0.2">
      <c r="A1371" s="44" t="str">
        <f>IF(COUNTA(B1371)&gt;0,1363,"")</f>
        <v/>
      </c>
      <c r="G1371" s="25" t="str">
        <f t="shared" si="0"/>
        <v/>
      </c>
      <c r="N1371" s="44" t="str">
        <f>IF(COUNTA(B1371)&gt;0,C5,"")</f>
        <v/>
      </c>
      <c r="AO1371" t="str">
        <f t="shared" si="22"/>
        <v/>
      </c>
    </row>
    <row r="1372" spans="1:41" x14ac:dyDescent="0.2">
      <c r="A1372" s="44" t="str">
        <f>IF(COUNTA(B1372)&gt;0,1364,"")</f>
        <v/>
      </c>
      <c r="G1372" s="25" t="str">
        <f t="shared" si="0"/>
        <v/>
      </c>
      <c r="N1372" s="44" t="str">
        <f>IF(COUNTA(B1372)&gt;0,C5,"")</f>
        <v/>
      </c>
      <c r="AO1372" t="str">
        <f t="shared" si="22"/>
        <v/>
      </c>
    </row>
    <row r="1373" spans="1:41" x14ac:dyDescent="0.2">
      <c r="A1373" s="44" t="str">
        <f>IF(COUNTA(B1373)&gt;0,1365,"")</f>
        <v/>
      </c>
      <c r="G1373" s="25" t="str">
        <f t="shared" si="0"/>
        <v/>
      </c>
      <c r="N1373" s="44" t="str">
        <f>IF(COUNTA(B1373)&gt;0,C5,"")</f>
        <v/>
      </c>
      <c r="AO1373" t="str">
        <f t="shared" si="22"/>
        <v/>
      </c>
    </row>
    <row r="1374" spans="1:41" x14ac:dyDescent="0.2">
      <c r="A1374" s="44" t="str">
        <f>IF(COUNTA(B1374)&gt;0,1366,"")</f>
        <v/>
      </c>
      <c r="G1374" s="25" t="str">
        <f t="shared" si="0"/>
        <v/>
      </c>
      <c r="N1374" s="44" t="str">
        <f>IF(COUNTA(B1374)&gt;0,C5,"")</f>
        <v/>
      </c>
      <c r="AO1374" t="str">
        <f t="shared" si="22"/>
        <v/>
      </c>
    </row>
    <row r="1375" spans="1:41" x14ac:dyDescent="0.2">
      <c r="A1375" s="44" t="str">
        <f>IF(COUNTA(B1375)&gt;0,1367,"")</f>
        <v/>
      </c>
      <c r="G1375" s="25" t="str">
        <f t="shared" si="0"/>
        <v/>
      </c>
      <c r="N1375" s="44" t="str">
        <f>IF(COUNTA(B1375)&gt;0,C5,"")</f>
        <v/>
      </c>
      <c r="AO1375" t="str">
        <f t="shared" si="22"/>
        <v/>
      </c>
    </row>
    <row r="1376" spans="1:41" x14ac:dyDescent="0.2">
      <c r="A1376" s="44" t="str">
        <f>IF(COUNTA(B1376)&gt;0,1368,"")</f>
        <v/>
      </c>
      <c r="G1376" s="25" t="str">
        <f t="shared" si="0"/>
        <v/>
      </c>
      <c r="N1376" s="44" t="str">
        <f>IF(COUNTA(B1376)&gt;0,C5,"")</f>
        <v/>
      </c>
      <c r="AO1376" t="str">
        <f t="shared" si="22"/>
        <v/>
      </c>
    </row>
    <row r="1377" spans="1:41" x14ac:dyDescent="0.2">
      <c r="A1377" s="44" t="str">
        <f>IF(COUNTA(B1377)&gt;0,1369,"")</f>
        <v/>
      </c>
      <c r="G1377" s="25" t="str">
        <f t="shared" si="0"/>
        <v/>
      </c>
      <c r="N1377" s="44" t="str">
        <f>IF(COUNTA(B1377)&gt;0,C5,"")</f>
        <v/>
      </c>
      <c r="AO1377" t="str">
        <f t="shared" si="22"/>
        <v/>
      </c>
    </row>
    <row r="1378" spans="1:41" x14ac:dyDescent="0.2">
      <c r="A1378" s="44" t="str">
        <f>IF(COUNTA(B1378)&gt;0,1370,"")</f>
        <v/>
      </c>
      <c r="G1378" s="25" t="str">
        <f t="shared" si="0"/>
        <v/>
      </c>
      <c r="N1378" s="44" t="str">
        <f>IF(COUNTA(B1378)&gt;0,C5,"")</f>
        <v/>
      </c>
      <c r="AO1378" t="str">
        <f t="shared" si="22"/>
        <v/>
      </c>
    </row>
    <row r="1379" spans="1:41" x14ac:dyDescent="0.2">
      <c r="A1379" s="44" t="str">
        <f>IF(COUNTA(B1379)&gt;0,1371,"")</f>
        <v/>
      </c>
      <c r="G1379" s="25" t="str">
        <f t="shared" si="0"/>
        <v/>
      </c>
      <c r="N1379" s="44" t="str">
        <f>IF(COUNTA(B1379)&gt;0,C5,"")</f>
        <v/>
      </c>
      <c r="AO1379" t="str">
        <f t="shared" si="22"/>
        <v/>
      </c>
    </row>
    <row r="1380" spans="1:41" x14ac:dyDescent="0.2">
      <c r="A1380" s="44" t="str">
        <f>IF(COUNTA(B1380)&gt;0,1372,"")</f>
        <v/>
      </c>
      <c r="G1380" s="25" t="str">
        <f t="shared" si="0"/>
        <v/>
      </c>
      <c r="N1380" s="44" t="str">
        <f>IF(COUNTA(B1380)&gt;0,C5,"")</f>
        <v/>
      </c>
      <c r="AO1380" t="str">
        <f t="shared" si="22"/>
        <v/>
      </c>
    </row>
    <row r="1381" spans="1:41" x14ac:dyDescent="0.2">
      <c r="A1381" s="44" t="str">
        <f>IF(COUNTA(B1381)&gt;0,1373,"")</f>
        <v/>
      </c>
      <c r="G1381" s="25" t="str">
        <f t="shared" si="0"/>
        <v/>
      </c>
      <c r="N1381" s="44" t="str">
        <f>IF(COUNTA(B1381)&gt;0,C5,"")</f>
        <v/>
      </c>
      <c r="AO1381" t="str">
        <f t="shared" si="22"/>
        <v/>
      </c>
    </row>
    <row r="1382" spans="1:41" x14ac:dyDescent="0.2">
      <c r="A1382" s="44" t="str">
        <f>IF(COUNTA(B1382)&gt;0,1374,"")</f>
        <v/>
      </c>
      <c r="G1382" s="25" t="str">
        <f t="shared" si="0"/>
        <v/>
      </c>
      <c r="N1382" s="44" t="str">
        <f>IF(COUNTA(B1382)&gt;0,C5,"")</f>
        <v/>
      </c>
      <c r="AO1382" t="str">
        <f t="shared" si="22"/>
        <v/>
      </c>
    </row>
    <row r="1383" spans="1:41" x14ac:dyDescent="0.2">
      <c r="A1383" s="44" t="str">
        <f>IF(COUNTA(B1383)&gt;0,1375,"")</f>
        <v/>
      </c>
      <c r="G1383" s="25" t="str">
        <f t="shared" si="0"/>
        <v/>
      </c>
      <c r="N1383" s="44" t="str">
        <f>IF(COUNTA(B1383)&gt;0,C5,"")</f>
        <v/>
      </c>
      <c r="AO1383" t="str">
        <f t="shared" si="22"/>
        <v/>
      </c>
    </row>
    <row r="1384" spans="1:41" x14ac:dyDescent="0.2">
      <c r="A1384" s="44" t="str">
        <f>IF(COUNTA(B1384)&gt;0,1376,"")</f>
        <v/>
      </c>
      <c r="G1384" s="25" t="str">
        <f t="shared" si="0"/>
        <v/>
      </c>
      <c r="N1384" s="44" t="str">
        <f>IF(COUNTA(B1384)&gt;0,C5,"")</f>
        <v/>
      </c>
      <c r="AO1384" t="str">
        <f t="shared" si="22"/>
        <v/>
      </c>
    </row>
    <row r="1385" spans="1:41" x14ac:dyDescent="0.2">
      <c r="A1385" s="44" t="str">
        <f>IF(COUNTA(B1385)&gt;0,1377,"")</f>
        <v/>
      </c>
      <c r="G1385" s="25" t="str">
        <f t="shared" si="0"/>
        <v/>
      </c>
      <c r="N1385" s="44" t="str">
        <f>IF(COUNTA(B1385)&gt;0,C5,"")</f>
        <v/>
      </c>
      <c r="AO1385" t="str">
        <f t="shared" si="22"/>
        <v/>
      </c>
    </row>
    <row r="1386" spans="1:41" x14ac:dyDescent="0.2">
      <c r="A1386" s="44" t="str">
        <f>IF(COUNTA(B1386)&gt;0,1378,"")</f>
        <v/>
      </c>
      <c r="G1386" s="25" t="str">
        <f t="shared" si="0"/>
        <v/>
      </c>
      <c r="N1386" s="44" t="str">
        <f>IF(COUNTA(B1386)&gt;0,C5,"")</f>
        <v/>
      </c>
      <c r="AO1386" t="str">
        <f t="shared" si="22"/>
        <v/>
      </c>
    </row>
    <row r="1387" spans="1:41" x14ac:dyDescent="0.2">
      <c r="A1387" s="44" t="str">
        <f>IF(COUNTA(B1387)&gt;0,1379,"")</f>
        <v/>
      </c>
      <c r="G1387" s="25" t="str">
        <f t="shared" si="0"/>
        <v/>
      </c>
      <c r="N1387" s="44" t="str">
        <f>IF(COUNTA(B1387)&gt;0,C5,"")</f>
        <v/>
      </c>
      <c r="AO1387" t="str">
        <f t="shared" si="22"/>
        <v/>
      </c>
    </row>
    <row r="1388" spans="1:41" x14ac:dyDescent="0.2">
      <c r="A1388" s="44" t="str">
        <f>IF(COUNTA(B1388)&gt;0,1380,"")</f>
        <v/>
      </c>
      <c r="G1388" s="25" t="str">
        <f t="shared" si="0"/>
        <v/>
      </c>
      <c r="N1388" s="44" t="str">
        <f>IF(COUNTA(B1388)&gt;0,C5,"")</f>
        <v/>
      </c>
      <c r="AO1388" t="str">
        <f t="shared" si="22"/>
        <v/>
      </c>
    </row>
    <row r="1389" spans="1:41" x14ac:dyDescent="0.2">
      <c r="A1389" s="44" t="str">
        <f>IF(COUNTA(B1389)&gt;0,1381,"")</f>
        <v/>
      </c>
      <c r="G1389" s="25" t="str">
        <f t="shared" si="0"/>
        <v/>
      </c>
      <c r="N1389" s="44" t="str">
        <f>IF(COUNTA(B1389)&gt;0,C5,"")</f>
        <v/>
      </c>
      <c r="AO1389" t="str">
        <f t="shared" si="22"/>
        <v/>
      </c>
    </row>
    <row r="1390" spans="1:41" x14ac:dyDescent="0.2">
      <c r="A1390" s="44" t="str">
        <f>IF(COUNTA(B1390)&gt;0,1382,"")</f>
        <v/>
      </c>
      <c r="G1390" s="25" t="str">
        <f t="shared" si="0"/>
        <v/>
      </c>
      <c r="N1390" s="44" t="str">
        <f>IF(COUNTA(B1390)&gt;0,C5,"")</f>
        <v/>
      </c>
      <c r="AO1390" t="str">
        <f t="shared" si="22"/>
        <v/>
      </c>
    </row>
    <row r="1391" spans="1:41" x14ac:dyDescent="0.2">
      <c r="A1391" s="44" t="str">
        <f>IF(COUNTA(B1391)&gt;0,1383,"")</f>
        <v/>
      </c>
      <c r="G1391" s="25" t="str">
        <f t="shared" si="0"/>
        <v/>
      </c>
      <c r="N1391" s="44" t="str">
        <f>IF(COUNTA(B1391)&gt;0,C5,"")</f>
        <v/>
      </c>
      <c r="AO1391" t="str">
        <f t="shared" si="22"/>
        <v/>
      </c>
    </row>
    <row r="1392" spans="1:41" x14ac:dyDescent="0.2">
      <c r="A1392" s="44" t="str">
        <f>IF(COUNTA(B1392)&gt;0,1384,"")</f>
        <v/>
      </c>
      <c r="G1392" s="25" t="str">
        <f t="shared" si="0"/>
        <v/>
      </c>
      <c r="N1392" s="44" t="str">
        <f>IF(COUNTA(B1392)&gt;0,C5,"")</f>
        <v/>
      </c>
      <c r="AO1392" t="str">
        <f t="shared" si="22"/>
        <v/>
      </c>
    </row>
    <row r="1393" spans="1:41" x14ac:dyDescent="0.2">
      <c r="A1393" s="44" t="str">
        <f>IF(COUNTA(B1393)&gt;0,1385,"")</f>
        <v/>
      </c>
      <c r="G1393" s="25" t="str">
        <f t="shared" si="0"/>
        <v/>
      </c>
      <c r="N1393" s="44" t="str">
        <f>IF(COUNTA(B1393)&gt;0,C5,"")</f>
        <v/>
      </c>
      <c r="AO1393" t="str">
        <f t="shared" si="22"/>
        <v/>
      </c>
    </row>
    <row r="1394" spans="1:41" x14ac:dyDescent="0.2">
      <c r="A1394" s="44" t="str">
        <f>IF(COUNTA(B1394)&gt;0,1386,"")</f>
        <v/>
      </c>
      <c r="G1394" s="25" t="str">
        <f t="shared" si="0"/>
        <v/>
      </c>
      <c r="N1394" s="44" t="str">
        <f>IF(COUNTA(B1394)&gt;0,C5,"")</f>
        <v/>
      </c>
      <c r="AO1394" t="str">
        <f t="shared" si="22"/>
        <v/>
      </c>
    </row>
    <row r="1395" spans="1:41" x14ac:dyDescent="0.2">
      <c r="A1395" s="44" t="str">
        <f>IF(COUNTA(B1395)&gt;0,1387,"")</f>
        <v/>
      </c>
      <c r="G1395" s="25" t="str">
        <f t="shared" si="0"/>
        <v/>
      </c>
      <c r="N1395" s="44" t="str">
        <f>IF(COUNTA(B1395)&gt;0,C5,"")</f>
        <v/>
      </c>
      <c r="AO1395" t="str">
        <f t="shared" si="22"/>
        <v/>
      </c>
    </row>
    <row r="1396" spans="1:41" x14ac:dyDescent="0.2">
      <c r="A1396" s="44" t="str">
        <f>IF(COUNTA(B1396)&gt;0,1388,"")</f>
        <v/>
      </c>
      <c r="G1396" s="25" t="str">
        <f t="shared" si="0"/>
        <v/>
      </c>
      <c r="N1396" s="44" t="str">
        <f>IF(COUNTA(B1396)&gt;0,C5,"")</f>
        <v/>
      </c>
      <c r="AO1396" t="str">
        <f t="shared" si="22"/>
        <v/>
      </c>
    </row>
    <row r="1397" spans="1:41" x14ac:dyDescent="0.2">
      <c r="A1397" s="44" t="str">
        <f>IF(COUNTA(B1397)&gt;0,1389,"")</f>
        <v/>
      </c>
      <c r="G1397" s="25" t="str">
        <f t="shared" si="0"/>
        <v/>
      </c>
      <c r="N1397" s="44" t="str">
        <f>IF(COUNTA(B1397)&gt;0,C5,"")</f>
        <v/>
      </c>
      <c r="AO1397" t="str">
        <f t="shared" si="22"/>
        <v/>
      </c>
    </row>
    <row r="1398" spans="1:41" x14ac:dyDescent="0.2">
      <c r="A1398" s="44" t="str">
        <f>IF(COUNTA(B1398)&gt;0,1390,"")</f>
        <v/>
      </c>
      <c r="G1398" s="25" t="str">
        <f t="shared" si="0"/>
        <v/>
      </c>
      <c r="N1398" s="44" t="str">
        <f>IF(COUNTA(B1398)&gt;0,C5,"")</f>
        <v/>
      </c>
      <c r="AO1398" t="str">
        <f t="shared" si="22"/>
        <v/>
      </c>
    </row>
    <row r="1399" spans="1:41" x14ac:dyDescent="0.2">
      <c r="A1399" s="44" t="str">
        <f>IF(COUNTA(B1399)&gt;0,1391,"")</f>
        <v/>
      </c>
      <c r="G1399" s="25" t="str">
        <f t="shared" si="0"/>
        <v/>
      </c>
      <c r="N1399" s="44" t="str">
        <f>IF(COUNTA(B1399)&gt;0,C5,"")</f>
        <v/>
      </c>
      <c r="AO1399" t="str">
        <f t="shared" si="22"/>
        <v/>
      </c>
    </row>
    <row r="1400" spans="1:41" x14ac:dyDescent="0.2">
      <c r="A1400" s="44" t="str">
        <f>IF(COUNTA(B1400)&gt;0,1392,"")</f>
        <v/>
      </c>
      <c r="G1400" s="25" t="str">
        <f t="shared" si="0"/>
        <v/>
      </c>
      <c r="N1400" s="44" t="str">
        <f>IF(COUNTA(B1400)&gt;0,C5,"")</f>
        <v/>
      </c>
      <c r="AO1400" t="str">
        <f t="shared" si="22"/>
        <v/>
      </c>
    </row>
    <row r="1401" spans="1:41" x14ac:dyDescent="0.2">
      <c r="A1401" s="44" t="str">
        <f>IF(COUNTA(B1401)&gt;0,1393,"")</f>
        <v/>
      </c>
      <c r="G1401" s="25" t="str">
        <f t="shared" si="0"/>
        <v/>
      </c>
      <c r="N1401" s="44" t="str">
        <f>IF(COUNTA(B1401)&gt;0,C5,"")</f>
        <v/>
      </c>
      <c r="AO1401" t="str">
        <f t="shared" si="22"/>
        <v/>
      </c>
    </row>
    <row r="1402" spans="1:41" x14ac:dyDescent="0.2">
      <c r="A1402" s="44" t="str">
        <f>IF(COUNTA(B1402)&gt;0,1394,"")</f>
        <v/>
      </c>
      <c r="G1402" s="25" t="str">
        <f t="shared" si="0"/>
        <v/>
      </c>
      <c r="N1402" s="44" t="str">
        <f>IF(COUNTA(B1402)&gt;0,C5,"")</f>
        <v/>
      </c>
      <c r="AO1402" t="str">
        <f t="shared" si="22"/>
        <v/>
      </c>
    </row>
    <row r="1403" spans="1:41" x14ac:dyDescent="0.2">
      <c r="A1403" s="44" t="str">
        <f>IF(COUNTA(B1403)&gt;0,1395,"")</f>
        <v/>
      </c>
      <c r="G1403" s="25" t="str">
        <f t="shared" si="0"/>
        <v/>
      </c>
      <c r="N1403" s="44" t="str">
        <f>IF(COUNTA(B1403)&gt;0,C5,"")</f>
        <v/>
      </c>
      <c r="AO1403" t="str">
        <f t="shared" si="22"/>
        <v/>
      </c>
    </row>
    <row r="1404" spans="1:41" x14ac:dyDescent="0.2">
      <c r="A1404" s="44" t="str">
        <f>IF(COUNTA(B1404)&gt;0,1396,"")</f>
        <v/>
      </c>
      <c r="G1404" s="25" t="str">
        <f t="shared" si="0"/>
        <v/>
      </c>
      <c r="N1404" s="44" t="str">
        <f>IF(COUNTA(B1404)&gt;0,C5,"")</f>
        <v/>
      </c>
      <c r="AO1404" t="str">
        <f t="shared" si="22"/>
        <v/>
      </c>
    </row>
    <row r="1405" spans="1:41" x14ac:dyDescent="0.2">
      <c r="A1405" s="44" t="str">
        <f>IF(COUNTA(B1405)&gt;0,1397,"")</f>
        <v/>
      </c>
      <c r="G1405" s="25" t="str">
        <f t="shared" si="0"/>
        <v/>
      </c>
      <c r="N1405" s="44" t="str">
        <f>IF(COUNTA(B1405)&gt;0,C5,"")</f>
        <v/>
      </c>
      <c r="AO1405" t="str">
        <f t="shared" si="22"/>
        <v/>
      </c>
    </row>
    <row r="1406" spans="1:41" x14ac:dyDescent="0.2">
      <c r="A1406" s="44" t="str">
        <f>IF(COUNTA(B1406)&gt;0,1398,"")</f>
        <v/>
      </c>
      <c r="G1406" s="25" t="str">
        <f t="shared" si="0"/>
        <v/>
      </c>
      <c r="N1406" s="44" t="str">
        <f>IF(COUNTA(B1406)&gt;0,C5,"")</f>
        <v/>
      </c>
      <c r="AO1406" t="str">
        <f t="shared" si="22"/>
        <v/>
      </c>
    </row>
    <row r="1407" spans="1:41" x14ac:dyDescent="0.2">
      <c r="A1407" s="44" t="str">
        <f>IF(COUNTA(B1407)&gt;0,1399,"")</f>
        <v/>
      </c>
      <c r="G1407" s="25" t="str">
        <f t="shared" si="0"/>
        <v/>
      </c>
      <c r="N1407" s="44" t="str">
        <f>IF(COUNTA(B1407)&gt;0,C5,"")</f>
        <v/>
      </c>
      <c r="AO1407" t="str">
        <f t="shared" si="22"/>
        <v/>
      </c>
    </row>
    <row r="1408" spans="1:41" x14ac:dyDescent="0.2">
      <c r="A1408" s="44" t="str">
        <f>IF(COUNTA(B1408)&gt;0,1400,"")</f>
        <v/>
      </c>
      <c r="G1408" s="25" t="str">
        <f t="shared" si="0"/>
        <v/>
      </c>
      <c r="N1408" s="44" t="str">
        <f>IF(COUNTA(B1408)&gt;0,C5,"")</f>
        <v/>
      </c>
      <c r="AO1408" t="str">
        <f t="shared" si="22"/>
        <v/>
      </c>
    </row>
    <row r="1409" spans="1:41" x14ac:dyDescent="0.2">
      <c r="A1409" s="44" t="str">
        <f>IF(COUNTA(B1409)&gt;0,1401,"")</f>
        <v/>
      </c>
      <c r="G1409" s="25" t="str">
        <f t="shared" si="0"/>
        <v/>
      </c>
      <c r="N1409" s="44" t="str">
        <f>IF(COUNTA(B1409)&gt;0,C5,"")</f>
        <v/>
      </c>
      <c r="AO1409" t="str">
        <f t="shared" si="22"/>
        <v/>
      </c>
    </row>
    <row r="1410" spans="1:41" x14ac:dyDescent="0.2">
      <c r="A1410" s="44" t="str">
        <f>IF(COUNTA(B1410)&gt;0,1402,"")</f>
        <v/>
      </c>
      <c r="G1410" s="25" t="str">
        <f t="shared" si="0"/>
        <v/>
      </c>
      <c r="N1410" s="44" t="str">
        <f>IF(COUNTA(B1410)&gt;0,C5,"")</f>
        <v/>
      </c>
      <c r="AO1410" t="str">
        <f t="shared" si="22"/>
        <v/>
      </c>
    </row>
    <row r="1411" spans="1:41" x14ac:dyDescent="0.2">
      <c r="A1411" s="44" t="str">
        <f>IF(COUNTA(B1411)&gt;0,1403,"")</f>
        <v/>
      </c>
      <c r="G1411" s="25" t="str">
        <f t="shared" si="0"/>
        <v/>
      </c>
      <c r="N1411" s="44" t="str">
        <f>IF(COUNTA(B1411)&gt;0,C5,"")</f>
        <v/>
      </c>
      <c r="AO1411" t="str">
        <f t="shared" si="22"/>
        <v/>
      </c>
    </row>
    <row r="1412" spans="1:41" x14ac:dyDescent="0.2">
      <c r="A1412" s="44" t="str">
        <f>IF(COUNTA(B1412)&gt;0,1404,"")</f>
        <v/>
      </c>
      <c r="G1412" s="25" t="str">
        <f t="shared" si="0"/>
        <v/>
      </c>
      <c r="N1412" s="44" t="str">
        <f>IF(COUNTA(B1412)&gt;0,C5,"")</f>
        <v/>
      </c>
      <c r="AO1412" t="str">
        <f t="shared" si="22"/>
        <v/>
      </c>
    </row>
    <row r="1413" spans="1:41" x14ac:dyDescent="0.2">
      <c r="A1413" s="44" t="str">
        <f>IF(COUNTA(B1413)&gt;0,1405,"")</f>
        <v/>
      </c>
      <c r="G1413" s="25" t="str">
        <f t="shared" si="0"/>
        <v/>
      </c>
      <c r="N1413" s="44" t="str">
        <f>IF(COUNTA(B1413)&gt;0,C5,"")</f>
        <v/>
      </c>
      <c r="AO1413" t="str">
        <f t="shared" si="22"/>
        <v/>
      </c>
    </row>
    <row r="1414" spans="1:41" x14ac:dyDescent="0.2">
      <c r="A1414" s="44" t="str">
        <f>IF(COUNTA(B1414)&gt;0,1406,"")</f>
        <v/>
      </c>
      <c r="G1414" s="25" t="str">
        <f t="shared" si="0"/>
        <v/>
      </c>
      <c r="N1414" s="44" t="str">
        <f>IF(COUNTA(B1414)&gt;0,C5,"")</f>
        <v/>
      </c>
      <c r="AO1414" t="str">
        <f t="shared" si="22"/>
        <v/>
      </c>
    </row>
    <row r="1415" spans="1:41" x14ac:dyDescent="0.2">
      <c r="A1415" s="44" t="str">
        <f>IF(COUNTA(B1415)&gt;0,1407,"")</f>
        <v/>
      </c>
      <c r="G1415" s="25" t="str">
        <f t="shared" si="0"/>
        <v/>
      </c>
      <c r="N1415" s="44" t="str">
        <f>IF(COUNTA(B1415)&gt;0,C5,"")</f>
        <v/>
      </c>
      <c r="AO1415" t="str">
        <f t="shared" si="22"/>
        <v/>
      </c>
    </row>
    <row r="1416" spans="1:41" x14ac:dyDescent="0.2">
      <c r="A1416" s="44" t="str">
        <f>IF(COUNTA(B1416)&gt;0,1408,"")</f>
        <v/>
      </c>
      <c r="G1416" s="25" t="str">
        <f t="shared" si="0"/>
        <v/>
      </c>
      <c r="N1416" s="44" t="str">
        <f>IF(COUNTA(B1416)&gt;0,C5,"")</f>
        <v/>
      </c>
      <c r="AO1416" t="str">
        <f t="shared" si="22"/>
        <v/>
      </c>
    </row>
    <row r="1417" spans="1:41" x14ac:dyDescent="0.2">
      <c r="A1417" s="44" t="str">
        <f>IF(COUNTA(B1417)&gt;0,1409,"")</f>
        <v/>
      </c>
      <c r="G1417" s="25" t="str">
        <f t="shared" si="0"/>
        <v/>
      </c>
      <c r="N1417" s="44" t="str">
        <f>IF(COUNTA(B1417)&gt;0,C5,"")</f>
        <v/>
      </c>
      <c r="AO1417" t="str">
        <f t="shared" ref="AO1417:AO1480" si="23">IF(COUNTA(L1417:M1417)&lt;&gt;0,"Có",IF(COUNTA(B1417)&gt;0,"Không",""))</f>
        <v/>
      </c>
    </row>
    <row r="1418" spans="1:41" x14ac:dyDescent="0.2">
      <c r="A1418" s="44" t="str">
        <f>IF(COUNTA(B1418)&gt;0,1410,"")</f>
        <v/>
      </c>
      <c r="G1418" s="25" t="str">
        <f t="shared" si="0"/>
        <v/>
      </c>
      <c r="N1418" s="44" t="str">
        <f>IF(COUNTA(B1418)&gt;0,C5,"")</f>
        <v/>
      </c>
      <c r="AO1418" t="str">
        <f t="shared" si="23"/>
        <v/>
      </c>
    </row>
    <row r="1419" spans="1:41" x14ac:dyDescent="0.2">
      <c r="A1419" s="44" t="str">
        <f>IF(COUNTA(B1419)&gt;0,1411,"")</f>
        <v/>
      </c>
      <c r="G1419" s="25" t="str">
        <f t="shared" si="0"/>
        <v/>
      </c>
      <c r="N1419" s="44" t="str">
        <f>IF(COUNTA(B1419)&gt;0,C5,"")</f>
        <v/>
      </c>
      <c r="AO1419" t="str">
        <f t="shared" si="23"/>
        <v/>
      </c>
    </row>
    <row r="1420" spans="1:41" x14ac:dyDescent="0.2">
      <c r="A1420" s="44" t="str">
        <f>IF(COUNTA(B1420)&gt;0,1412,"")</f>
        <v/>
      </c>
      <c r="G1420" s="25" t="str">
        <f t="shared" si="0"/>
        <v/>
      </c>
      <c r="N1420" s="44" t="str">
        <f>IF(COUNTA(B1420)&gt;0,C5,"")</f>
        <v/>
      </c>
      <c r="AO1420" t="str">
        <f t="shared" si="23"/>
        <v/>
      </c>
    </row>
    <row r="1421" spans="1:41" x14ac:dyDescent="0.2">
      <c r="A1421" s="44" t="str">
        <f>IF(COUNTA(B1421)&gt;0,1413,"")</f>
        <v/>
      </c>
      <c r="G1421" s="25" t="str">
        <f t="shared" si="0"/>
        <v/>
      </c>
      <c r="N1421" s="44" t="str">
        <f>IF(COUNTA(B1421)&gt;0,C5,"")</f>
        <v/>
      </c>
      <c r="AO1421" t="str">
        <f t="shared" si="23"/>
        <v/>
      </c>
    </row>
    <row r="1422" spans="1:41" x14ac:dyDescent="0.2">
      <c r="A1422" s="44" t="str">
        <f>IF(COUNTA(B1422)&gt;0,1414,"")</f>
        <v/>
      </c>
      <c r="G1422" s="25" t="str">
        <f t="shared" si="0"/>
        <v/>
      </c>
      <c r="N1422" s="44" t="str">
        <f>IF(COUNTA(B1422)&gt;0,C5,"")</f>
        <v/>
      </c>
      <c r="AO1422" t="str">
        <f t="shared" si="23"/>
        <v/>
      </c>
    </row>
    <row r="1423" spans="1:41" x14ac:dyDescent="0.2">
      <c r="A1423" s="44" t="str">
        <f>IF(COUNTA(B1423)&gt;0,1415,"")</f>
        <v/>
      </c>
      <c r="G1423" s="25" t="str">
        <f t="shared" si="0"/>
        <v/>
      </c>
      <c r="N1423" s="44" t="str">
        <f>IF(COUNTA(B1423)&gt;0,C5,"")</f>
        <v/>
      </c>
      <c r="AO1423" t="str">
        <f t="shared" si="23"/>
        <v/>
      </c>
    </row>
    <row r="1424" spans="1:41" x14ac:dyDescent="0.2">
      <c r="A1424" s="44" t="str">
        <f>IF(COUNTA(B1424)&gt;0,1416,"")</f>
        <v/>
      </c>
      <c r="G1424" s="25" t="str">
        <f t="shared" si="0"/>
        <v/>
      </c>
      <c r="N1424" s="44" t="str">
        <f>IF(COUNTA(B1424)&gt;0,C5,"")</f>
        <v/>
      </c>
      <c r="AO1424" t="str">
        <f t="shared" si="23"/>
        <v/>
      </c>
    </row>
    <row r="1425" spans="1:41" x14ac:dyDescent="0.2">
      <c r="A1425" s="44" t="str">
        <f>IF(COUNTA(B1425)&gt;0,1417,"")</f>
        <v/>
      </c>
      <c r="G1425" s="25" t="str">
        <f t="shared" si="0"/>
        <v/>
      </c>
      <c r="N1425" s="44" t="str">
        <f>IF(COUNTA(B1425)&gt;0,C5,"")</f>
        <v/>
      </c>
      <c r="AO1425" t="str">
        <f t="shared" si="23"/>
        <v/>
      </c>
    </row>
    <row r="1426" spans="1:41" x14ac:dyDescent="0.2">
      <c r="A1426" s="44" t="str">
        <f>IF(COUNTA(B1426)&gt;0,1418,"")</f>
        <v/>
      </c>
      <c r="G1426" s="25" t="str">
        <f t="shared" si="0"/>
        <v/>
      </c>
      <c r="N1426" s="44" t="str">
        <f>IF(COUNTA(B1426)&gt;0,C5,"")</f>
        <v/>
      </c>
      <c r="AO1426" t="str">
        <f t="shared" si="23"/>
        <v/>
      </c>
    </row>
    <row r="1427" spans="1:41" x14ac:dyDescent="0.2">
      <c r="A1427" s="44" t="str">
        <f>IF(COUNTA(B1427)&gt;0,1419,"")</f>
        <v/>
      </c>
      <c r="G1427" s="25" t="str">
        <f t="shared" si="0"/>
        <v/>
      </c>
      <c r="N1427" s="44" t="str">
        <f>IF(COUNTA(B1427)&gt;0,C5,"")</f>
        <v/>
      </c>
      <c r="AO1427" t="str">
        <f t="shared" si="23"/>
        <v/>
      </c>
    </row>
    <row r="1428" spans="1:41" x14ac:dyDescent="0.2">
      <c r="A1428" s="44" t="str">
        <f>IF(COUNTA(B1428)&gt;0,1420,"")</f>
        <v/>
      </c>
      <c r="G1428" s="25" t="str">
        <f t="shared" si="0"/>
        <v/>
      </c>
      <c r="N1428" s="44" t="str">
        <f>IF(COUNTA(B1428)&gt;0,C5,"")</f>
        <v/>
      </c>
      <c r="AO1428" t="str">
        <f t="shared" si="23"/>
        <v/>
      </c>
    </row>
    <row r="1429" spans="1:41" x14ac:dyDescent="0.2">
      <c r="A1429" s="44" t="str">
        <f>IF(COUNTA(B1429)&gt;0,1421,"")</f>
        <v/>
      </c>
      <c r="G1429" s="25" t="str">
        <f t="shared" si="0"/>
        <v/>
      </c>
      <c r="N1429" s="44" t="str">
        <f>IF(COUNTA(B1429)&gt;0,C5,"")</f>
        <v/>
      </c>
      <c r="AO1429" t="str">
        <f t="shared" si="23"/>
        <v/>
      </c>
    </row>
    <row r="1430" spans="1:41" x14ac:dyDescent="0.2">
      <c r="A1430" s="44" t="str">
        <f>IF(COUNTA(B1430)&gt;0,1422,"")</f>
        <v/>
      </c>
      <c r="G1430" s="25" t="str">
        <f t="shared" si="0"/>
        <v/>
      </c>
      <c r="N1430" s="44" t="str">
        <f>IF(COUNTA(B1430)&gt;0,C5,"")</f>
        <v/>
      </c>
      <c r="AO1430" t="str">
        <f t="shared" si="23"/>
        <v/>
      </c>
    </row>
    <row r="1431" spans="1:41" x14ac:dyDescent="0.2">
      <c r="A1431" s="44" t="str">
        <f>IF(COUNTA(B1431)&gt;0,1423,"")</f>
        <v/>
      </c>
      <c r="G1431" s="25" t="str">
        <f t="shared" si="0"/>
        <v/>
      </c>
      <c r="N1431" s="44" t="str">
        <f>IF(COUNTA(B1431)&gt;0,C5,"")</f>
        <v/>
      </c>
      <c r="AO1431" t="str">
        <f t="shared" si="23"/>
        <v/>
      </c>
    </row>
    <row r="1432" spans="1:41" x14ac:dyDescent="0.2">
      <c r="A1432" s="44" t="str">
        <f>IF(COUNTA(B1432)&gt;0,1424,"")</f>
        <v/>
      </c>
      <c r="G1432" s="25" t="str">
        <f t="shared" si="0"/>
        <v/>
      </c>
      <c r="N1432" s="44" t="str">
        <f>IF(COUNTA(B1432)&gt;0,C5,"")</f>
        <v/>
      </c>
      <c r="AO1432" t="str">
        <f t="shared" si="23"/>
        <v/>
      </c>
    </row>
    <row r="1433" spans="1:41" x14ac:dyDescent="0.2">
      <c r="A1433" s="44" t="str">
        <f>IF(COUNTA(B1433)&gt;0,1425,"")</f>
        <v/>
      </c>
      <c r="G1433" s="25" t="str">
        <f t="shared" si="0"/>
        <v/>
      </c>
      <c r="N1433" s="44" t="str">
        <f>IF(COUNTA(B1433)&gt;0,C5,"")</f>
        <v/>
      </c>
      <c r="AO1433" t="str">
        <f t="shared" si="23"/>
        <v/>
      </c>
    </row>
    <row r="1434" spans="1:41" x14ac:dyDescent="0.2">
      <c r="A1434" s="44" t="str">
        <f>IF(COUNTA(B1434)&gt;0,1426,"")</f>
        <v/>
      </c>
      <c r="G1434" s="25" t="str">
        <f t="shared" si="0"/>
        <v/>
      </c>
      <c r="N1434" s="44" t="str">
        <f>IF(COUNTA(B1434)&gt;0,C5,"")</f>
        <v/>
      </c>
      <c r="AO1434" t="str">
        <f t="shared" si="23"/>
        <v/>
      </c>
    </row>
    <row r="1435" spans="1:41" x14ac:dyDescent="0.2">
      <c r="A1435" s="44" t="str">
        <f>IF(COUNTA(B1435)&gt;0,1427,"")</f>
        <v/>
      </c>
      <c r="G1435" s="25" t="str">
        <f t="shared" si="0"/>
        <v/>
      </c>
      <c r="N1435" s="44" t="str">
        <f>IF(COUNTA(B1435)&gt;0,C5,"")</f>
        <v/>
      </c>
      <c r="AO1435" t="str">
        <f t="shared" si="23"/>
        <v/>
      </c>
    </row>
    <row r="1436" spans="1:41" x14ac:dyDescent="0.2">
      <c r="A1436" s="44" t="str">
        <f>IF(COUNTA(B1436)&gt;0,1428,"")</f>
        <v/>
      </c>
      <c r="G1436" s="25" t="str">
        <f t="shared" si="0"/>
        <v/>
      </c>
      <c r="N1436" s="44" t="str">
        <f>IF(COUNTA(B1436)&gt;0,C5,"")</f>
        <v/>
      </c>
      <c r="AO1436" t="str">
        <f t="shared" si="23"/>
        <v/>
      </c>
    </row>
    <row r="1437" spans="1:41" x14ac:dyDescent="0.2">
      <c r="A1437" s="44" t="str">
        <f>IF(COUNTA(B1437)&gt;0,1429,"")</f>
        <v/>
      </c>
      <c r="G1437" s="25" t="str">
        <f t="shared" si="0"/>
        <v/>
      </c>
      <c r="N1437" s="44" t="str">
        <f>IF(COUNTA(B1437)&gt;0,C5,"")</f>
        <v/>
      </c>
      <c r="AO1437" t="str">
        <f t="shared" si="23"/>
        <v/>
      </c>
    </row>
    <row r="1438" spans="1:41" x14ac:dyDescent="0.2">
      <c r="A1438" s="44" t="str">
        <f>IF(COUNTA(B1438)&gt;0,1430,"")</f>
        <v/>
      </c>
      <c r="G1438" s="25" t="str">
        <f t="shared" si="0"/>
        <v/>
      </c>
      <c r="N1438" s="44" t="str">
        <f>IF(COUNTA(B1438)&gt;0,C5,"")</f>
        <v/>
      </c>
      <c r="AO1438" t="str">
        <f t="shared" si="23"/>
        <v/>
      </c>
    </row>
    <row r="1439" spans="1:41" x14ac:dyDescent="0.2">
      <c r="A1439" s="44" t="str">
        <f>IF(COUNTA(B1439)&gt;0,1431,"")</f>
        <v/>
      </c>
      <c r="G1439" s="25" t="str">
        <f t="shared" si="0"/>
        <v/>
      </c>
      <c r="N1439" s="44" t="str">
        <f>IF(COUNTA(B1439)&gt;0,C5,"")</f>
        <v/>
      </c>
      <c r="AO1439" t="str">
        <f t="shared" si="23"/>
        <v/>
      </c>
    </row>
    <row r="1440" spans="1:41" x14ac:dyDescent="0.2">
      <c r="A1440" s="44" t="str">
        <f>IF(COUNTA(B1440)&gt;0,1432,"")</f>
        <v/>
      </c>
      <c r="G1440" s="25" t="str">
        <f t="shared" si="0"/>
        <v/>
      </c>
      <c r="N1440" s="44" t="str">
        <f>IF(COUNTA(B1440)&gt;0,C5,"")</f>
        <v/>
      </c>
      <c r="AO1440" t="str">
        <f t="shared" si="23"/>
        <v/>
      </c>
    </row>
    <row r="1441" spans="1:41" x14ac:dyDescent="0.2">
      <c r="A1441" s="44" t="str">
        <f>IF(COUNTA(B1441)&gt;0,1433,"")</f>
        <v/>
      </c>
      <c r="G1441" s="25" t="str">
        <f t="shared" si="0"/>
        <v/>
      </c>
      <c r="N1441" s="44" t="str">
        <f>IF(COUNTA(B1441)&gt;0,C5,"")</f>
        <v/>
      </c>
      <c r="AO1441" t="str">
        <f t="shared" si="23"/>
        <v/>
      </c>
    </row>
    <row r="1442" spans="1:41" x14ac:dyDescent="0.2">
      <c r="A1442" s="44" t="str">
        <f>IF(COUNTA(B1442)&gt;0,1434,"")</f>
        <v/>
      </c>
      <c r="G1442" s="25" t="str">
        <f t="shared" si="0"/>
        <v/>
      </c>
      <c r="N1442" s="44" t="str">
        <f>IF(COUNTA(B1442)&gt;0,C5,"")</f>
        <v/>
      </c>
      <c r="AO1442" t="str">
        <f t="shared" si="23"/>
        <v/>
      </c>
    </row>
    <row r="1443" spans="1:41" x14ac:dyDescent="0.2">
      <c r="A1443" s="44" t="str">
        <f>IF(COUNTA(B1443)&gt;0,1435,"")</f>
        <v/>
      </c>
      <c r="G1443" s="25" t="str">
        <f t="shared" si="0"/>
        <v/>
      </c>
      <c r="N1443" s="44" t="str">
        <f>IF(COUNTA(B1443)&gt;0,C5,"")</f>
        <v/>
      </c>
      <c r="AO1443" t="str">
        <f t="shared" si="23"/>
        <v/>
      </c>
    </row>
    <row r="1444" spans="1:41" x14ac:dyDescent="0.2">
      <c r="A1444" s="44" t="str">
        <f>IF(COUNTA(B1444)&gt;0,1436,"")</f>
        <v/>
      </c>
      <c r="G1444" s="25" t="str">
        <f t="shared" si="0"/>
        <v/>
      </c>
      <c r="N1444" s="44" t="str">
        <f>IF(COUNTA(B1444)&gt;0,C5,"")</f>
        <v/>
      </c>
      <c r="AO1444" t="str">
        <f t="shared" si="23"/>
        <v/>
      </c>
    </row>
    <row r="1445" spans="1:41" x14ac:dyDescent="0.2">
      <c r="A1445" s="44" t="str">
        <f>IF(COUNTA(B1445)&gt;0,1437,"")</f>
        <v/>
      </c>
      <c r="G1445" s="25" t="str">
        <f t="shared" si="0"/>
        <v/>
      </c>
      <c r="N1445" s="44" t="str">
        <f>IF(COUNTA(B1445)&gt;0,C5,"")</f>
        <v/>
      </c>
      <c r="AO1445" t="str">
        <f t="shared" si="23"/>
        <v/>
      </c>
    </row>
    <row r="1446" spans="1:41" x14ac:dyDescent="0.2">
      <c r="A1446" s="44" t="str">
        <f>IF(COUNTA(B1446)&gt;0,1438,"")</f>
        <v/>
      </c>
      <c r="G1446" s="25" t="str">
        <f t="shared" si="0"/>
        <v/>
      </c>
      <c r="N1446" s="44" t="str">
        <f>IF(COUNTA(B1446)&gt;0,C5,"")</f>
        <v/>
      </c>
      <c r="AO1446" t="str">
        <f t="shared" si="23"/>
        <v/>
      </c>
    </row>
    <row r="1447" spans="1:41" x14ac:dyDescent="0.2">
      <c r="A1447" s="44" t="str">
        <f>IF(COUNTA(B1447)&gt;0,1439,"")</f>
        <v/>
      </c>
      <c r="G1447" s="25" t="str">
        <f t="shared" si="0"/>
        <v/>
      </c>
      <c r="N1447" s="44" t="str">
        <f>IF(COUNTA(B1447)&gt;0,C5,"")</f>
        <v/>
      </c>
      <c r="AO1447" t="str">
        <f t="shared" si="23"/>
        <v/>
      </c>
    </row>
    <row r="1448" spans="1:41" x14ac:dyDescent="0.2">
      <c r="A1448" s="44" t="str">
        <f>IF(COUNTA(B1448)&gt;0,1440,"")</f>
        <v/>
      </c>
      <c r="G1448" s="25" t="str">
        <f t="shared" si="0"/>
        <v/>
      </c>
      <c r="N1448" s="44" t="str">
        <f>IF(COUNTA(B1448)&gt;0,C5,"")</f>
        <v/>
      </c>
      <c r="AO1448" t="str">
        <f t="shared" si="23"/>
        <v/>
      </c>
    </row>
    <row r="1449" spans="1:41" x14ac:dyDescent="0.2">
      <c r="A1449" s="44" t="str">
        <f>IF(COUNTA(B1449)&gt;0,1441,"")</f>
        <v/>
      </c>
      <c r="G1449" s="25" t="str">
        <f t="shared" si="0"/>
        <v/>
      </c>
      <c r="N1449" s="44" t="str">
        <f>IF(COUNTA(B1449)&gt;0,C5,"")</f>
        <v/>
      </c>
      <c r="AO1449" t="str">
        <f t="shared" si="23"/>
        <v/>
      </c>
    </row>
    <row r="1450" spans="1:41" x14ac:dyDescent="0.2">
      <c r="A1450" s="44" t="str">
        <f>IF(COUNTA(B1450)&gt;0,1442,"")</f>
        <v/>
      </c>
      <c r="G1450" s="25" t="str">
        <f t="shared" si="0"/>
        <v/>
      </c>
      <c r="N1450" s="44" t="str">
        <f>IF(COUNTA(B1450)&gt;0,C5,"")</f>
        <v/>
      </c>
      <c r="AO1450" t="str">
        <f t="shared" si="23"/>
        <v/>
      </c>
    </row>
    <row r="1451" spans="1:41" x14ac:dyDescent="0.2">
      <c r="A1451" s="44" t="str">
        <f>IF(COUNTA(B1451)&gt;0,1443,"")</f>
        <v/>
      </c>
      <c r="G1451" s="25" t="str">
        <f t="shared" si="0"/>
        <v/>
      </c>
      <c r="N1451" s="44" t="str">
        <f>IF(COUNTA(B1451)&gt;0,C5,"")</f>
        <v/>
      </c>
      <c r="AO1451" t="str">
        <f t="shared" si="23"/>
        <v/>
      </c>
    </row>
    <row r="1452" spans="1:41" x14ac:dyDescent="0.2">
      <c r="A1452" s="44" t="str">
        <f>IF(COUNTA(B1452)&gt;0,1444,"")</f>
        <v/>
      </c>
      <c r="G1452" s="25" t="str">
        <f t="shared" si="0"/>
        <v/>
      </c>
      <c r="N1452" s="44" t="str">
        <f>IF(COUNTA(B1452)&gt;0,C5,"")</f>
        <v/>
      </c>
      <c r="AO1452" t="str">
        <f t="shared" si="23"/>
        <v/>
      </c>
    </row>
    <row r="1453" spans="1:41" x14ac:dyDescent="0.2">
      <c r="A1453" s="44" t="str">
        <f>IF(COUNTA(B1453)&gt;0,1445,"")</f>
        <v/>
      </c>
      <c r="G1453" s="25" t="str">
        <f t="shared" si="0"/>
        <v/>
      </c>
      <c r="N1453" s="44" t="str">
        <f>IF(COUNTA(B1453)&gt;0,C5,"")</f>
        <v/>
      </c>
      <c r="AO1453" t="str">
        <f t="shared" si="23"/>
        <v/>
      </c>
    </row>
    <row r="1454" spans="1:41" x14ac:dyDescent="0.2">
      <c r="A1454" s="44" t="str">
        <f>IF(COUNTA(B1454)&gt;0,1446,"")</f>
        <v/>
      </c>
      <c r="G1454" s="25" t="str">
        <f t="shared" si="0"/>
        <v/>
      </c>
      <c r="N1454" s="44" t="str">
        <f>IF(COUNTA(B1454)&gt;0,C5,"")</f>
        <v/>
      </c>
      <c r="AO1454" t="str">
        <f t="shared" si="23"/>
        <v/>
      </c>
    </row>
    <row r="1455" spans="1:41" x14ac:dyDescent="0.2">
      <c r="A1455" s="44" t="str">
        <f>IF(COUNTA(B1455)&gt;0,1447,"")</f>
        <v/>
      </c>
      <c r="G1455" s="25" t="str">
        <f t="shared" si="0"/>
        <v/>
      </c>
      <c r="N1455" s="44" t="str">
        <f>IF(COUNTA(B1455)&gt;0,C5,"")</f>
        <v/>
      </c>
      <c r="AO1455" t="str">
        <f t="shared" si="23"/>
        <v/>
      </c>
    </row>
    <row r="1456" spans="1:41" x14ac:dyDescent="0.2">
      <c r="A1456" s="44" t="str">
        <f>IF(COUNTA(B1456)&gt;0,1448,"")</f>
        <v/>
      </c>
      <c r="G1456" s="25" t="str">
        <f t="shared" si="0"/>
        <v/>
      </c>
      <c r="N1456" s="44" t="str">
        <f>IF(COUNTA(B1456)&gt;0,C5,"")</f>
        <v/>
      </c>
      <c r="AO1456" t="str">
        <f t="shared" si="23"/>
        <v/>
      </c>
    </row>
    <row r="1457" spans="1:41" x14ac:dyDescent="0.2">
      <c r="A1457" s="44" t="str">
        <f>IF(COUNTA(B1457)&gt;0,1449,"")</f>
        <v/>
      </c>
      <c r="G1457" s="25" t="str">
        <f t="shared" si="0"/>
        <v/>
      </c>
      <c r="N1457" s="44" t="str">
        <f>IF(COUNTA(B1457)&gt;0,C5,"")</f>
        <v/>
      </c>
      <c r="AO1457" t="str">
        <f t="shared" si="23"/>
        <v/>
      </c>
    </row>
    <row r="1458" spans="1:41" x14ac:dyDescent="0.2">
      <c r="A1458" s="44" t="str">
        <f>IF(COUNTA(B1458)&gt;0,1450,"")</f>
        <v/>
      </c>
      <c r="G1458" s="25" t="str">
        <f t="shared" si="0"/>
        <v/>
      </c>
      <c r="N1458" s="44" t="str">
        <f>IF(COUNTA(B1458)&gt;0,C5,"")</f>
        <v/>
      </c>
      <c r="AO1458" t="str">
        <f t="shared" si="23"/>
        <v/>
      </c>
    </row>
    <row r="1459" spans="1:41" x14ac:dyDescent="0.2">
      <c r="A1459" s="44" t="str">
        <f>IF(COUNTA(B1459)&gt;0,1451,"")</f>
        <v/>
      </c>
      <c r="G1459" s="25" t="str">
        <f t="shared" si="0"/>
        <v/>
      </c>
      <c r="N1459" s="44" t="str">
        <f>IF(COUNTA(B1459)&gt;0,C5,"")</f>
        <v/>
      </c>
      <c r="AO1459" t="str">
        <f t="shared" si="23"/>
        <v/>
      </c>
    </row>
    <row r="1460" spans="1:41" x14ac:dyDescent="0.2">
      <c r="A1460" s="44" t="str">
        <f>IF(COUNTA(B1460)&gt;0,1452,"")</f>
        <v/>
      </c>
      <c r="G1460" s="25" t="str">
        <f t="shared" si="0"/>
        <v/>
      </c>
      <c r="N1460" s="44" t="str">
        <f>IF(COUNTA(B1460)&gt;0,C5,"")</f>
        <v/>
      </c>
      <c r="AO1460" t="str">
        <f t="shared" si="23"/>
        <v/>
      </c>
    </row>
    <row r="1461" spans="1:41" x14ac:dyDescent="0.2">
      <c r="A1461" s="44" t="str">
        <f>IF(COUNTA(B1461)&gt;0,1453,"")</f>
        <v/>
      </c>
      <c r="G1461" s="25" t="str">
        <f t="shared" si="0"/>
        <v/>
      </c>
      <c r="N1461" s="44" t="str">
        <f>IF(COUNTA(B1461)&gt;0,C5,"")</f>
        <v/>
      </c>
      <c r="AO1461" t="str">
        <f t="shared" si="23"/>
        <v/>
      </c>
    </row>
    <row r="1462" spans="1:41" x14ac:dyDescent="0.2">
      <c r="A1462" s="44" t="str">
        <f>IF(COUNTA(B1462)&gt;0,1454,"")</f>
        <v/>
      </c>
      <c r="G1462" s="25" t="str">
        <f t="shared" si="0"/>
        <v/>
      </c>
      <c r="N1462" s="44" t="str">
        <f>IF(COUNTA(B1462)&gt;0,C5,"")</f>
        <v/>
      </c>
      <c r="AO1462" t="str">
        <f t="shared" si="23"/>
        <v/>
      </c>
    </row>
    <row r="1463" spans="1:41" x14ac:dyDescent="0.2">
      <c r="A1463" s="44" t="str">
        <f>IF(COUNTA(B1463)&gt;0,1455,"")</f>
        <v/>
      </c>
      <c r="G1463" s="25" t="str">
        <f t="shared" si="0"/>
        <v/>
      </c>
      <c r="N1463" s="44" t="str">
        <f>IF(COUNTA(B1463)&gt;0,C5,"")</f>
        <v/>
      </c>
      <c r="AO1463" t="str">
        <f t="shared" si="23"/>
        <v/>
      </c>
    </row>
    <row r="1464" spans="1:41" x14ac:dyDescent="0.2">
      <c r="A1464" s="44" t="str">
        <f>IF(COUNTA(B1464)&gt;0,1456,"")</f>
        <v/>
      </c>
      <c r="G1464" s="25" t="str">
        <f t="shared" si="0"/>
        <v/>
      </c>
      <c r="N1464" s="44" t="str">
        <f>IF(COUNTA(B1464)&gt;0,C5,"")</f>
        <v/>
      </c>
      <c r="AO1464" t="str">
        <f t="shared" si="23"/>
        <v/>
      </c>
    </row>
    <row r="1465" spans="1:41" x14ac:dyDescent="0.2">
      <c r="A1465" s="44" t="str">
        <f>IF(COUNTA(B1465)&gt;0,1457,"")</f>
        <v/>
      </c>
      <c r="G1465" s="25" t="str">
        <f t="shared" si="0"/>
        <v/>
      </c>
      <c r="N1465" s="44" t="str">
        <f>IF(COUNTA(B1465)&gt;0,C5,"")</f>
        <v/>
      </c>
      <c r="AO1465" t="str">
        <f t="shared" si="23"/>
        <v/>
      </c>
    </row>
    <row r="1466" spans="1:41" x14ac:dyDescent="0.2">
      <c r="A1466" s="44" t="str">
        <f>IF(COUNTA(B1466)&gt;0,1458,"")</f>
        <v/>
      </c>
      <c r="G1466" s="25" t="str">
        <f t="shared" si="0"/>
        <v/>
      </c>
      <c r="N1466" s="44" t="str">
        <f>IF(COUNTA(B1466)&gt;0,C5,"")</f>
        <v/>
      </c>
      <c r="AO1466" t="str">
        <f t="shared" si="23"/>
        <v/>
      </c>
    </row>
    <row r="1467" spans="1:41" x14ac:dyDescent="0.2">
      <c r="A1467" s="44" t="str">
        <f>IF(COUNTA(B1467)&gt;0,1459,"")</f>
        <v/>
      </c>
      <c r="G1467" s="25" t="str">
        <f t="shared" si="0"/>
        <v/>
      </c>
      <c r="N1467" s="44" t="str">
        <f>IF(COUNTA(B1467)&gt;0,C5,"")</f>
        <v/>
      </c>
      <c r="AO1467" t="str">
        <f t="shared" si="23"/>
        <v/>
      </c>
    </row>
    <row r="1468" spans="1:41" x14ac:dyDescent="0.2">
      <c r="A1468" s="44" t="str">
        <f>IF(COUNTA(B1468)&gt;0,1460,"")</f>
        <v/>
      </c>
      <c r="G1468" s="25" t="str">
        <f t="shared" si="0"/>
        <v/>
      </c>
      <c r="N1468" s="44" t="str">
        <f>IF(COUNTA(B1468)&gt;0,C5,"")</f>
        <v/>
      </c>
      <c r="AO1468" t="str">
        <f t="shared" si="23"/>
        <v/>
      </c>
    </row>
    <row r="1469" spans="1:41" x14ac:dyDescent="0.2">
      <c r="A1469" s="44" t="str">
        <f>IF(COUNTA(B1469)&gt;0,1461,"")</f>
        <v/>
      </c>
      <c r="G1469" s="25" t="str">
        <f t="shared" si="0"/>
        <v/>
      </c>
      <c r="N1469" s="44" t="str">
        <f>IF(COUNTA(B1469)&gt;0,C5,"")</f>
        <v/>
      </c>
      <c r="AO1469" t="str">
        <f t="shared" si="23"/>
        <v/>
      </c>
    </row>
    <row r="1470" spans="1:41" x14ac:dyDescent="0.2">
      <c r="A1470" s="44" t="str">
        <f>IF(COUNTA(B1470)&gt;0,1462,"")</f>
        <v/>
      </c>
      <c r="G1470" s="25" t="str">
        <f t="shared" si="0"/>
        <v/>
      </c>
      <c r="N1470" s="44" t="str">
        <f>IF(COUNTA(B1470)&gt;0,C5,"")</f>
        <v/>
      </c>
      <c r="AO1470" t="str">
        <f t="shared" si="23"/>
        <v/>
      </c>
    </row>
    <row r="1471" spans="1:41" x14ac:dyDescent="0.2">
      <c r="A1471" s="44" t="str">
        <f>IF(COUNTA(B1471)&gt;0,1463,"")</f>
        <v/>
      </c>
      <c r="G1471" s="25" t="str">
        <f t="shared" si="0"/>
        <v/>
      </c>
      <c r="N1471" s="44" t="str">
        <f>IF(COUNTA(B1471)&gt;0,C5,"")</f>
        <v/>
      </c>
      <c r="AO1471" t="str">
        <f t="shared" si="23"/>
        <v/>
      </c>
    </row>
    <row r="1472" spans="1:41" x14ac:dyDescent="0.2">
      <c r="A1472" s="44" t="str">
        <f>IF(COUNTA(B1472)&gt;0,1464,"")</f>
        <v/>
      </c>
      <c r="G1472" s="25" t="str">
        <f t="shared" si="0"/>
        <v/>
      </c>
      <c r="N1472" s="44" t="str">
        <f>IF(COUNTA(B1472)&gt;0,C5,"")</f>
        <v/>
      </c>
      <c r="AO1472" t="str">
        <f t="shared" si="23"/>
        <v/>
      </c>
    </row>
    <row r="1473" spans="1:41" x14ac:dyDescent="0.2">
      <c r="A1473" s="44" t="str">
        <f>IF(COUNTA(B1473)&gt;0,1465,"")</f>
        <v/>
      </c>
      <c r="G1473" s="25" t="str">
        <f t="shared" si="0"/>
        <v/>
      </c>
      <c r="N1473" s="44" t="str">
        <f>IF(COUNTA(B1473)&gt;0,C5,"")</f>
        <v/>
      </c>
      <c r="AO1473" t="str">
        <f t="shared" si="23"/>
        <v/>
      </c>
    </row>
    <row r="1474" spans="1:41" x14ac:dyDescent="0.2">
      <c r="A1474" s="44" t="str">
        <f>IF(COUNTA(B1474)&gt;0,1466,"")</f>
        <v/>
      </c>
      <c r="G1474" s="25" t="str">
        <f t="shared" si="0"/>
        <v/>
      </c>
      <c r="N1474" s="44" t="str">
        <f>IF(COUNTA(B1474)&gt;0,C5,"")</f>
        <v/>
      </c>
      <c r="AO1474" t="str">
        <f t="shared" si="23"/>
        <v/>
      </c>
    </row>
    <row r="1475" spans="1:41" x14ac:dyDescent="0.2">
      <c r="A1475" s="44" t="str">
        <f>IF(COUNTA(B1475)&gt;0,1467,"")</f>
        <v/>
      </c>
      <c r="G1475" s="25" t="str">
        <f t="shared" si="0"/>
        <v/>
      </c>
      <c r="N1475" s="44" t="str">
        <f>IF(COUNTA(B1475)&gt;0,C5,"")</f>
        <v/>
      </c>
      <c r="AO1475" t="str">
        <f t="shared" si="23"/>
        <v/>
      </c>
    </row>
    <row r="1476" spans="1:41" x14ac:dyDescent="0.2">
      <c r="A1476" s="44" t="str">
        <f>IF(COUNTA(B1476)&gt;0,1468,"")</f>
        <v/>
      </c>
      <c r="G1476" s="25" t="str">
        <f t="shared" si="0"/>
        <v/>
      </c>
      <c r="N1476" s="44" t="str">
        <f>IF(COUNTA(B1476)&gt;0,C5,"")</f>
        <v/>
      </c>
      <c r="AO1476" t="str">
        <f t="shared" si="23"/>
        <v/>
      </c>
    </row>
    <row r="1477" spans="1:41" x14ac:dyDescent="0.2">
      <c r="A1477" s="44" t="str">
        <f>IF(COUNTA(B1477)&gt;0,1469,"")</f>
        <v/>
      </c>
      <c r="G1477" s="25" t="str">
        <f t="shared" si="0"/>
        <v/>
      </c>
      <c r="N1477" s="44" t="str">
        <f>IF(COUNTA(B1477)&gt;0,C5,"")</f>
        <v/>
      </c>
      <c r="AO1477" t="str">
        <f t="shared" si="23"/>
        <v/>
      </c>
    </row>
    <row r="1478" spans="1:41" x14ac:dyDescent="0.2">
      <c r="A1478" s="44" t="str">
        <f>IF(COUNTA(B1478)&gt;0,1470,"")</f>
        <v/>
      </c>
      <c r="G1478" s="25" t="str">
        <f t="shared" si="0"/>
        <v/>
      </c>
      <c r="N1478" s="44" t="str">
        <f>IF(COUNTA(B1478)&gt;0,C5,"")</f>
        <v/>
      </c>
      <c r="AO1478" t="str">
        <f t="shared" si="23"/>
        <v/>
      </c>
    </row>
    <row r="1479" spans="1:41" x14ac:dyDescent="0.2">
      <c r="A1479" s="44" t="str">
        <f>IF(COUNTA(B1479)&gt;0,1471,"")</f>
        <v/>
      </c>
      <c r="G1479" s="25" t="str">
        <f t="shared" si="0"/>
        <v/>
      </c>
      <c r="N1479" s="44" t="str">
        <f>IF(COUNTA(B1479)&gt;0,C5,"")</f>
        <v/>
      </c>
      <c r="AO1479" t="str">
        <f t="shared" si="23"/>
        <v/>
      </c>
    </row>
    <row r="1480" spans="1:41" x14ac:dyDescent="0.2">
      <c r="A1480" s="44" t="str">
        <f>IF(COUNTA(B1480)&gt;0,1472,"")</f>
        <v/>
      </c>
      <c r="G1480" s="25" t="str">
        <f t="shared" si="0"/>
        <v/>
      </c>
      <c r="N1480" s="44" t="str">
        <f>IF(COUNTA(B1480)&gt;0,C5,"")</f>
        <v/>
      </c>
      <c r="AO1480" t="str">
        <f t="shared" si="23"/>
        <v/>
      </c>
    </row>
    <row r="1481" spans="1:41" x14ac:dyDescent="0.2">
      <c r="A1481" s="44" t="str">
        <f>IF(COUNTA(B1481)&gt;0,1473,"")</f>
        <v/>
      </c>
      <c r="G1481" s="25" t="str">
        <f t="shared" si="0"/>
        <v/>
      </c>
      <c r="N1481" s="44" t="str">
        <f>IF(COUNTA(B1481)&gt;0,C5,"")</f>
        <v/>
      </c>
      <c r="AO1481" t="str">
        <f t="shared" ref="AO1481:AO1544" si="24">IF(COUNTA(L1481:M1481)&lt;&gt;0,"Có",IF(COUNTA(B1481)&gt;0,"Không",""))</f>
        <v/>
      </c>
    </row>
    <row r="1482" spans="1:41" x14ac:dyDescent="0.2">
      <c r="A1482" s="44" t="str">
        <f>IF(COUNTA(B1482)&gt;0,1474,"")</f>
        <v/>
      </c>
      <c r="G1482" s="25" t="str">
        <f t="shared" si="0"/>
        <v/>
      </c>
      <c r="N1482" s="44" t="str">
        <f>IF(COUNTA(B1482)&gt;0,C5,"")</f>
        <v/>
      </c>
      <c r="AO1482" t="str">
        <f t="shared" si="24"/>
        <v/>
      </c>
    </row>
    <row r="1483" spans="1:41" x14ac:dyDescent="0.2">
      <c r="A1483" s="44" t="str">
        <f>IF(COUNTA(B1483)&gt;0,1475,"")</f>
        <v/>
      </c>
      <c r="G1483" s="25" t="str">
        <f t="shared" si="0"/>
        <v/>
      </c>
      <c r="N1483" s="44" t="str">
        <f>IF(COUNTA(B1483)&gt;0,C5,"")</f>
        <v/>
      </c>
      <c r="AO1483" t="str">
        <f t="shared" si="24"/>
        <v/>
      </c>
    </row>
    <row r="1484" spans="1:41" x14ac:dyDescent="0.2">
      <c r="A1484" s="44" t="str">
        <f>IF(COUNTA(B1484)&gt;0,1476,"")</f>
        <v/>
      </c>
      <c r="G1484" s="25" t="str">
        <f t="shared" si="0"/>
        <v/>
      </c>
      <c r="N1484" s="44" t="str">
        <f>IF(COUNTA(B1484)&gt;0,C5,"")</f>
        <v/>
      </c>
      <c r="AO1484" t="str">
        <f t="shared" si="24"/>
        <v/>
      </c>
    </row>
    <row r="1485" spans="1:41" x14ac:dyDescent="0.2">
      <c r="A1485" s="44" t="str">
        <f>IF(COUNTA(B1485)&gt;0,1477,"")</f>
        <v/>
      </c>
      <c r="G1485" s="25" t="str">
        <f t="shared" si="0"/>
        <v/>
      </c>
      <c r="N1485" s="44" t="str">
        <f>IF(COUNTA(B1485)&gt;0,C5,"")</f>
        <v/>
      </c>
      <c r="AO1485" t="str">
        <f t="shared" si="24"/>
        <v/>
      </c>
    </row>
    <row r="1486" spans="1:41" x14ac:dyDescent="0.2">
      <c r="A1486" s="44" t="str">
        <f>IF(COUNTA(B1486)&gt;0,1478,"")</f>
        <v/>
      </c>
      <c r="G1486" s="25" t="str">
        <f t="shared" si="0"/>
        <v/>
      </c>
      <c r="N1486" s="44" t="str">
        <f>IF(COUNTA(B1486)&gt;0,C5,"")</f>
        <v/>
      </c>
      <c r="AO1486" t="str">
        <f t="shared" si="24"/>
        <v/>
      </c>
    </row>
    <row r="1487" spans="1:41" x14ac:dyDescent="0.2">
      <c r="A1487" s="44" t="str">
        <f>IF(COUNTA(B1487)&gt;0,1479,"")</f>
        <v/>
      </c>
      <c r="G1487" s="25" t="str">
        <f t="shared" si="0"/>
        <v/>
      </c>
      <c r="N1487" s="44" t="str">
        <f>IF(COUNTA(B1487)&gt;0,C5,"")</f>
        <v/>
      </c>
      <c r="AO1487" t="str">
        <f t="shared" si="24"/>
        <v/>
      </c>
    </row>
    <row r="1488" spans="1:41" x14ac:dyDescent="0.2">
      <c r="A1488" s="44" t="str">
        <f>IF(COUNTA(B1488)&gt;0,1480,"")</f>
        <v/>
      </c>
      <c r="G1488" s="25" t="str">
        <f t="shared" si="0"/>
        <v/>
      </c>
      <c r="N1488" s="44" t="str">
        <f>IF(COUNTA(B1488)&gt;0,C5,"")</f>
        <v/>
      </c>
      <c r="AO1488" t="str">
        <f t="shared" si="24"/>
        <v/>
      </c>
    </row>
    <row r="1489" spans="1:41" x14ac:dyDescent="0.2">
      <c r="A1489" s="44" t="str">
        <f>IF(COUNTA(B1489)&gt;0,1481,"")</f>
        <v/>
      </c>
      <c r="G1489" s="25" t="str">
        <f t="shared" si="0"/>
        <v/>
      </c>
      <c r="N1489" s="44" t="str">
        <f>IF(COUNTA(B1489)&gt;0,C5,"")</f>
        <v/>
      </c>
      <c r="AO1489" t="str">
        <f t="shared" si="24"/>
        <v/>
      </c>
    </row>
    <row r="1490" spans="1:41" x14ac:dyDescent="0.2">
      <c r="A1490" s="44" t="str">
        <f>IF(COUNTA(B1490)&gt;0,1482,"")</f>
        <v/>
      </c>
      <c r="G1490" s="25" t="str">
        <f t="shared" si="0"/>
        <v/>
      </c>
      <c r="N1490" s="44" t="str">
        <f>IF(COUNTA(B1490)&gt;0,C5,"")</f>
        <v/>
      </c>
      <c r="AO1490" t="str">
        <f t="shared" si="24"/>
        <v/>
      </c>
    </row>
    <row r="1491" spans="1:41" x14ac:dyDescent="0.2">
      <c r="A1491" s="44" t="str">
        <f>IF(COUNTA(B1491)&gt;0,1483,"")</f>
        <v/>
      </c>
      <c r="G1491" s="25" t="str">
        <f t="shared" si="0"/>
        <v/>
      </c>
      <c r="N1491" s="44" t="str">
        <f>IF(COUNTA(B1491)&gt;0,C5,"")</f>
        <v/>
      </c>
      <c r="AO1491" t="str">
        <f t="shared" si="24"/>
        <v/>
      </c>
    </row>
    <row r="1492" spans="1:41" x14ac:dyDescent="0.2">
      <c r="A1492" s="44" t="str">
        <f>IF(COUNTA(B1492)&gt;0,1484,"")</f>
        <v/>
      </c>
      <c r="G1492" s="25" t="str">
        <f t="shared" si="0"/>
        <v/>
      </c>
      <c r="N1492" s="44" t="str">
        <f>IF(COUNTA(B1492)&gt;0,C5,"")</f>
        <v/>
      </c>
      <c r="AO1492" t="str">
        <f t="shared" si="24"/>
        <v/>
      </c>
    </row>
    <row r="1493" spans="1:41" x14ac:dyDescent="0.2">
      <c r="A1493" s="44" t="str">
        <f>IF(COUNTA(B1493)&gt;0,1485,"")</f>
        <v/>
      </c>
      <c r="G1493" s="25" t="str">
        <f t="shared" si="0"/>
        <v/>
      </c>
      <c r="N1493" s="44" t="str">
        <f>IF(COUNTA(B1493)&gt;0,C5,"")</f>
        <v/>
      </c>
      <c r="AO1493" t="str">
        <f t="shared" si="24"/>
        <v/>
      </c>
    </row>
    <row r="1494" spans="1:41" x14ac:dyDescent="0.2">
      <c r="A1494" s="44" t="str">
        <f>IF(COUNTA(B1494)&gt;0,1486,"")</f>
        <v/>
      </c>
      <c r="G1494" s="25" t="str">
        <f t="shared" si="0"/>
        <v/>
      </c>
      <c r="N1494" s="44" t="str">
        <f>IF(COUNTA(B1494)&gt;0,C5,"")</f>
        <v/>
      </c>
      <c r="AO1494" t="str">
        <f t="shared" si="24"/>
        <v/>
      </c>
    </row>
    <row r="1495" spans="1:41" x14ac:dyDescent="0.2">
      <c r="A1495" s="44" t="str">
        <f>IF(COUNTA(B1495)&gt;0,1487,"")</f>
        <v/>
      </c>
      <c r="G1495" s="25" t="str">
        <f t="shared" si="0"/>
        <v/>
      </c>
      <c r="N1495" s="44" t="str">
        <f>IF(COUNTA(B1495)&gt;0,C5,"")</f>
        <v/>
      </c>
      <c r="AO1495" t="str">
        <f t="shared" si="24"/>
        <v/>
      </c>
    </row>
    <row r="1496" spans="1:41" x14ac:dyDescent="0.2">
      <c r="A1496" s="44" t="str">
        <f>IF(COUNTA(B1496)&gt;0,1488,"")</f>
        <v/>
      </c>
      <c r="G1496" s="25" t="str">
        <f t="shared" si="0"/>
        <v/>
      </c>
      <c r="N1496" s="44" t="str">
        <f>IF(COUNTA(B1496)&gt;0,C5,"")</f>
        <v/>
      </c>
      <c r="AO1496" t="str">
        <f t="shared" si="24"/>
        <v/>
      </c>
    </row>
    <row r="1497" spans="1:41" x14ac:dyDescent="0.2">
      <c r="A1497" s="44" t="str">
        <f>IF(COUNTA(B1497)&gt;0,1489,"")</f>
        <v/>
      </c>
      <c r="G1497" s="25" t="str">
        <f t="shared" si="0"/>
        <v/>
      </c>
      <c r="N1497" s="44" t="str">
        <f>IF(COUNTA(B1497)&gt;0,C5,"")</f>
        <v/>
      </c>
      <c r="AO1497" t="str">
        <f t="shared" si="24"/>
        <v/>
      </c>
    </row>
    <row r="1498" spans="1:41" x14ac:dyDescent="0.2">
      <c r="A1498" s="44" t="str">
        <f>IF(COUNTA(B1498)&gt;0,1490,"")</f>
        <v/>
      </c>
      <c r="G1498" s="25" t="str">
        <f t="shared" si="0"/>
        <v/>
      </c>
      <c r="N1498" s="44" t="str">
        <f>IF(COUNTA(B1498)&gt;0,C5,"")</f>
        <v/>
      </c>
      <c r="AO1498" t="str">
        <f t="shared" si="24"/>
        <v/>
      </c>
    </row>
    <row r="1499" spans="1:41" x14ac:dyDescent="0.2">
      <c r="A1499" s="44" t="str">
        <f>IF(COUNTA(B1499)&gt;0,1491,"")</f>
        <v/>
      </c>
      <c r="G1499" s="25" t="str">
        <f t="shared" si="0"/>
        <v/>
      </c>
      <c r="N1499" s="44" t="str">
        <f>IF(COUNTA(B1499)&gt;0,C5,"")</f>
        <v/>
      </c>
      <c r="AO1499" t="str">
        <f t="shared" si="24"/>
        <v/>
      </c>
    </row>
    <row r="1500" spans="1:41" x14ac:dyDescent="0.2">
      <c r="A1500" s="44" t="str">
        <f>IF(COUNTA(B1500)&gt;0,1492,"")</f>
        <v/>
      </c>
      <c r="G1500" s="25" t="str">
        <f t="shared" si="0"/>
        <v/>
      </c>
      <c r="N1500" s="44" t="str">
        <f>IF(COUNTA(B1500)&gt;0,C5,"")</f>
        <v/>
      </c>
      <c r="AO1500" t="str">
        <f t="shared" si="24"/>
        <v/>
      </c>
    </row>
    <row r="1501" spans="1:41" x14ac:dyDescent="0.2">
      <c r="A1501" s="44" t="str">
        <f>IF(COUNTA(B1501)&gt;0,1493,"")</f>
        <v/>
      </c>
      <c r="G1501" s="25" t="str">
        <f t="shared" si="0"/>
        <v/>
      </c>
      <c r="N1501" s="44" t="str">
        <f>IF(COUNTA(B1501)&gt;0,C5,"")</f>
        <v/>
      </c>
      <c r="AO1501" t="str">
        <f t="shared" si="24"/>
        <v/>
      </c>
    </row>
    <row r="1502" spans="1:41" x14ac:dyDescent="0.2">
      <c r="A1502" s="44" t="str">
        <f>IF(COUNTA(B1502)&gt;0,1494,"")</f>
        <v/>
      </c>
      <c r="G1502" s="25" t="str">
        <f t="shared" si="0"/>
        <v/>
      </c>
      <c r="N1502" s="44" t="str">
        <f>IF(COUNTA(B1502)&gt;0,C5,"")</f>
        <v/>
      </c>
      <c r="AO1502" t="str">
        <f t="shared" si="24"/>
        <v/>
      </c>
    </row>
    <row r="1503" spans="1:41" x14ac:dyDescent="0.2">
      <c r="A1503" s="44" t="str">
        <f>IF(COUNTA(B1503)&gt;0,1495,"")</f>
        <v/>
      </c>
      <c r="G1503" s="25" t="str">
        <f t="shared" si="0"/>
        <v/>
      </c>
      <c r="N1503" s="44" t="str">
        <f>IF(COUNTA(B1503)&gt;0,C5,"")</f>
        <v/>
      </c>
      <c r="AO1503" t="str">
        <f t="shared" si="24"/>
        <v/>
      </c>
    </row>
    <row r="1504" spans="1:41" x14ac:dyDescent="0.2">
      <c r="A1504" s="44" t="str">
        <f>IF(COUNTA(B1504)&gt;0,1496,"")</f>
        <v/>
      </c>
      <c r="G1504" s="25" t="str">
        <f t="shared" si="0"/>
        <v/>
      </c>
      <c r="N1504" s="44" t="str">
        <f>IF(COUNTA(B1504)&gt;0,C5,"")</f>
        <v/>
      </c>
      <c r="AO1504" t="str">
        <f t="shared" si="24"/>
        <v/>
      </c>
    </row>
    <row r="1505" spans="1:41" x14ac:dyDescent="0.2">
      <c r="A1505" s="44" t="str">
        <f>IF(COUNTA(B1505)&gt;0,1497,"")</f>
        <v/>
      </c>
      <c r="G1505" s="25" t="str">
        <f t="shared" si="0"/>
        <v/>
      </c>
      <c r="N1505" s="44" t="str">
        <f>IF(COUNTA(B1505)&gt;0,C5,"")</f>
        <v/>
      </c>
      <c r="AO1505" t="str">
        <f t="shared" si="24"/>
        <v/>
      </c>
    </row>
    <row r="1506" spans="1:41" x14ac:dyDescent="0.2">
      <c r="A1506" s="44" t="str">
        <f>IF(COUNTA(B1506)&gt;0,1498,"")</f>
        <v/>
      </c>
      <c r="G1506" s="25" t="str">
        <f t="shared" si="0"/>
        <v/>
      </c>
      <c r="N1506" s="44" t="str">
        <f>IF(COUNTA(B1506)&gt;0,C5,"")</f>
        <v/>
      </c>
      <c r="AO1506" t="str">
        <f t="shared" si="24"/>
        <v/>
      </c>
    </row>
    <row r="1507" spans="1:41" x14ac:dyDescent="0.2">
      <c r="A1507" s="44" t="str">
        <f>IF(COUNTA(B1507)&gt;0,1499,"")</f>
        <v/>
      </c>
      <c r="G1507" s="25" t="str">
        <f t="shared" si="0"/>
        <v/>
      </c>
      <c r="N1507" s="44" t="str">
        <f>IF(COUNTA(B1507)&gt;0,C5,"")</f>
        <v/>
      </c>
      <c r="AO1507" t="str">
        <f t="shared" si="24"/>
        <v/>
      </c>
    </row>
    <row r="1508" spans="1:41" x14ac:dyDescent="0.2">
      <c r="A1508" s="44" t="str">
        <f>IF(COUNTA(B1508)&gt;0,1500,"")</f>
        <v/>
      </c>
      <c r="G1508" s="25" t="str">
        <f t="shared" si="0"/>
        <v/>
      </c>
      <c r="N1508" s="44" t="str">
        <f>IF(COUNTA(B1508)&gt;0,C5,"")</f>
        <v/>
      </c>
      <c r="AO1508" t="str">
        <f t="shared" si="24"/>
        <v/>
      </c>
    </row>
    <row r="1509" spans="1:41" x14ac:dyDescent="0.2">
      <c r="A1509" s="44" t="str">
        <f>IF(COUNTA(B1509)&gt;0,1501,"")</f>
        <v/>
      </c>
      <c r="G1509" s="25" t="str">
        <f t="shared" si="0"/>
        <v/>
      </c>
      <c r="N1509" s="44" t="str">
        <f>IF(COUNTA(B1509)&gt;0,C5,"")</f>
        <v/>
      </c>
      <c r="AO1509" t="str">
        <f t="shared" si="24"/>
        <v/>
      </c>
    </row>
    <row r="1510" spans="1:41" x14ac:dyDescent="0.2">
      <c r="A1510" s="44" t="str">
        <f>IF(COUNTA(B1510)&gt;0,1502,"")</f>
        <v/>
      </c>
      <c r="G1510" s="25" t="str">
        <f t="shared" si="0"/>
        <v/>
      </c>
      <c r="N1510" s="44" t="str">
        <f>IF(COUNTA(B1510)&gt;0,C5,"")</f>
        <v/>
      </c>
      <c r="AO1510" t="str">
        <f t="shared" si="24"/>
        <v/>
      </c>
    </row>
    <row r="1511" spans="1:41" x14ac:dyDescent="0.2">
      <c r="A1511" s="44" t="str">
        <f>IF(COUNTA(B1511)&gt;0,1503,"")</f>
        <v/>
      </c>
      <c r="G1511" s="25" t="str">
        <f t="shared" si="0"/>
        <v/>
      </c>
      <c r="N1511" s="44" t="str">
        <f>IF(COUNTA(B1511)&gt;0,C5,"")</f>
        <v/>
      </c>
      <c r="AO1511" t="str">
        <f t="shared" si="24"/>
        <v/>
      </c>
    </row>
    <row r="1512" spans="1:41" x14ac:dyDescent="0.2">
      <c r="A1512" s="44" t="str">
        <f>IF(COUNTA(B1512)&gt;0,1504,"")</f>
        <v/>
      </c>
      <c r="G1512" s="25" t="str">
        <f t="shared" si="0"/>
        <v/>
      </c>
      <c r="N1512" s="44" t="str">
        <f>IF(COUNTA(B1512)&gt;0,C5,"")</f>
        <v/>
      </c>
      <c r="AO1512" t="str">
        <f t="shared" si="24"/>
        <v/>
      </c>
    </row>
    <row r="1513" spans="1:41" x14ac:dyDescent="0.2">
      <c r="A1513" s="44" t="str">
        <f>IF(COUNTA(B1513)&gt;0,1505,"")</f>
        <v/>
      </c>
      <c r="G1513" s="25" t="str">
        <f t="shared" si="0"/>
        <v/>
      </c>
      <c r="N1513" s="44" t="str">
        <f>IF(COUNTA(B1513)&gt;0,C5,"")</f>
        <v/>
      </c>
      <c r="AO1513" t="str">
        <f t="shared" si="24"/>
        <v/>
      </c>
    </row>
    <row r="1514" spans="1:41" x14ac:dyDescent="0.2">
      <c r="A1514" s="44" t="str">
        <f>IF(COUNTA(B1514)&gt;0,1506,"")</f>
        <v/>
      </c>
      <c r="G1514" s="25" t="str">
        <f t="shared" si="0"/>
        <v/>
      </c>
      <c r="N1514" s="44" t="str">
        <f>IF(COUNTA(B1514)&gt;0,C5,"")</f>
        <v/>
      </c>
      <c r="AO1514" t="str">
        <f t="shared" si="24"/>
        <v/>
      </c>
    </row>
    <row r="1515" spans="1:41" x14ac:dyDescent="0.2">
      <c r="A1515" s="44" t="str">
        <f>IF(COUNTA(B1515)&gt;0,1507,"")</f>
        <v/>
      </c>
      <c r="G1515" s="25" t="str">
        <f t="shared" si="0"/>
        <v/>
      </c>
      <c r="N1515" s="44" t="str">
        <f>IF(COUNTA(B1515)&gt;0,C5,"")</f>
        <v/>
      </c>
      <c r="AO1515" t="str">
        <f t="shared" si="24"/>
        <v/>
      </c>
    </row>
    <row r="1516" spans="1:41" x14ac:dyDescent="0.2">
      <c r="A1516" s="44" t="str">
        <f>IF(COUNTA(B1516)&gt;0,1508,"")</f>
        <v/>
      </c>
      <c r="G1516" s="25" t="str">
        <f t="shared" si="0"/>
        <v/>
      </c>
      <c r="N1516" s="44" t="str">
        <f>IF(COUNTA(B1516)&gt;0,C5,"")</f>
        <v/>
      </c>
      <c r="AO1516" t="str">
        <f t="shared" si="24"/>
        <v/>
      </c>
    </row>
    <row r="1517" spans="1:41" x14ac:dyDescent="0.2">
      <c r="A1517" s="44" t="str">
        <f>IF(COUNTA(B1517)&gt;0,1509,"")</f>
        <v/>
      </c>
      <c r="G1517" s="25" t="str">
        <f t="shared" si="0"/>
        <v/>
      </c>
      <c r="N1517" s="44" t="str">
        <f>IF(COUNTA(B1517)&gt;0,C5,"")</f>
        <v/>
      </c>
      <c r="AO1517" t="str">
        <f t="shared" si="24"/>
        <v/>
      </c>
    </row>
    <row r="1518" spans="1:41" x14ac:dyDescent="0.2">
      <c r="A1518" s="44" t="str">
        <f>IF(COUNTA(B1518)&gt;0,1510,"")</f>
        <v/>
      </c>
      <c r="G1518" s="25" t="str">
        <f t="shared" si="0"/>
        <v/>
      </c>
      <c r="N1518" s="44" t="str">
        <f>IF(COUNTA(B1518)&gt;0,C5,"")</f>
        <v/>
      </c>
      <c r="AO1518" t="str">
        <f t="shared" si="24"/>
        <v/>
      </c>
    </row>
    <row r="1519" spans="1:41" x14ac:dyDescent="0.2">
      <c r="A1519" s="44" t="str">
        <f>IF(COUNTA(B1519)&gt;0,1511,"")</f>
        <v/>
      </c>
      <c r="G1519" s="25" t="str">
        <f t="shared" si="0"/>
        <v/>
      </c>
      <c r="N1519" s="44" t="str">
        <f>IF(COUNTA(B1519)&gt;0,C5,"")</f>
        <v/>
      </c>
      <c r="AO1519" t="str">
        <f t="shared" si="24"/>
        <v/>
      </c>
    </row>
    <row r="1520" spans="1:41" x14ac:dyDescent="0.2">
      <c r="A1520" s="44" t="str">
        <f>IF(COUNTA(B1520)&gt;0,1512,"")</f>
        <v/>
      </c>
      <c r="G1520" s="25" t="str">
        <f t="shared" si="0"/>
        <v/>
      </c>
      <c r="N1520" s="44" t="str">
        <f>IF(COUNTA(B1520)&gt;0,C5,"")</f>
        <v/>
      </c>
      <c r="AO1520" t="str">
        <f t="shared" si="24"/>
        <v/>
      </c>
    </row>
    <row r="1521" spans="1:41" x14ac:dyDescent="0.2">
      <c r="A1521" s="44" t="str">
        <f>IF(COUNTA(B1521)&gt;0,1513,"")</f>
        <v/>
      </c>
      <c r="G1521" s="25" t="str">
        <f t="shared" si="0"/>
        <v/>
      </c>
      <c r="N1521" s="44" t="str">
        <f>IF(COUNTA(B1521)&gt;0,C5,"")</f>
        <v/>
      </c>
      <c r="AO1521" t="str">
        <f t="shared" si="24"/>
        <v/>
      </c>
    </row>
    <row r="1522" spans="1:41" x14ac:dyDescent="0.2">
      <c r="A1522" s="44" t="str">
        <f>IF(COUNTA(B1522)&gt;0,1514,"")</f>
        <v/>
      </c>
      <c r="G1522" s="25" t="str">
        <f t="shared" si="0"/>
        <v/>
      </c>
      <c r="N1522" s="44" t="str">
        <f>IF(COUNTA(B1522)&gt;0,C5,"")</f>
        <v/>
      </c>
      <c r="AO1522" t="str">
        <f t="shared" si="24"/>
        <v/>
      </c>
    </row>
    <row r="1523" spans="1:41" x14ac:dyDescent="0.2">
      <c r="A1523" s="44" t="str">
        <f>IF(COUNTA(B1523)&gt;0,1515,"")</f>
        <v/>
      </c>
      <c r="G1523" s="25" t="str">
        <f t="shared" si="0"/>
        <v/>
      </c>
      <c r="N1523" s="44" t="str">
        <f>IF(COUNTA(B1523)&gt;0,C5,"")</f>
        <v/>
      </c>
      <c r="AO1523" t="str">
        <f t="shared" si="24"/>
        <v/>
      </c>
    </row>
    <row r="1524" spans="1:41" x14ac:dyDescent="0.2">
      <c r="A1524" s="44" t="str">
        <f>IF(COUNTA(B1524)&gt;0,1516,"")</f>
        <v/>
      </c>
      <c r="G1524" s="25" t="str">
        <f t="shared" si="0"/>
        <v/>
      </c>
      <c r="N1524" s="44" t="str">
        <f>IF(COUNTA(B1524)&gt;0,C5,"")</f>
        <v/>
      </c>
      <c r="AO1524" t="str">
        <f t="shared" si="24"/>
        <v/>
      </c>
    </row>
    <row r="1525" spans="1:41" x14ac:dyDescent="0.2">
      <c r="A1525" s="44" t="str">
        <f>IF(COUNTA(B1525)&gt;0,1517,"")</f>
        <v/>
      </c>
      <c r="G1525" s="25" t="str">
        <f t="shared" si="0"/>
        <v/>
      </c>
      <c r="N1525" s="44" t="str">
        <f>IF(COUNTA(B1525)&gt;0,C5,"")</f>
        <v/>
      </c>
      <c r="AO1525" t="str">
        <f t="shared" si="24"/>
        <v/>
      </c>
    </row>
    <row r="1526" spans="1:41" x14ac:dyDescent="0.2">
      <c r="A1526" s="44" t="str">
        <f>IF(COUNTA(B1526)&gt;0,1518,"")</f>
        <v/>
      </c>
      <c r="G1526" s="25" t="str">
        <f t="shared" si="0"/>
        <v/>
      </c>
      <c r="N1526" s="44" t="str">
        <f>IF(COUNTA(B1526)&gt;0,C5,"")</f>
        <v/>
      </c>
      <c r="AO1526" t="str">
        <f t="shared" si="24"/>
        <v/>
      </c>
    </row>
    <row r="1527" spans="1:41" x14ac:dyDescent="0.2">
      <c r="A1527" s="44" t="str">
        <f>IF(COUNTA(B1527)&gt;0,1519,"")</f>
        <v/>
      </c>
      <c r="G1527" s="25" t="str">
        <f t="shared" si="0"/>
        <v/>
      </c>
      <c r="N1527" s="44" t="str">
        <f>IF(COUNTA(B1527)&gt;0,C5,"")</f>
        <v/>
      </c>
      <c r="AO1527" t="str">
        <f t="shared" si="24"/>
        <v/>
      </c>
    </row>
    <row r="1528" spans="1:41" x14ac:dyDescent="0.2">
      <c r="A1528" s="44" t="str">
        <f>IF(COUNTA(B1528)&gt;0,1520,"")</f>
        <v/>
      </c>
      <c r="G1528" s="25" t="str">
        <f t="shared" si="0"/>
        <v/>
      </c>
      <c r="N1528" s="44" t="str">
        <f>IF(COUNTA(B1528)&gt;0,C5,"")</f>
        <v/>
      </c>
      <c r="AO1528" t="str">
        <f t="shared" si="24"/>
        <v/>
      </c>
    </row>
    <row r="1529" spans="1:41" x14ac:dyDescent="0.2">
      <c r="A1529" s="44" t="str">
        <f>IF(COUNTA(B1529)&gt;0,1521,"")</f>
        <v/>
      </c>
      <c r="G1529" s="25" t="str">
        <f t="shared" si="0"/>
        <v/>
      </c>
      <c r="N1529" s="44" t="str">
        <f>IF(COUNTA(B1529)&gt;0,C5,"")</f>
        <v/>
      </c>
      <c r="AO1529" t="str">
        <f t="shared" si="24"/>
        <v/>
      </c>
    </row>
    <row r="1530" spans="1:41" x14ac:dyDescent="0.2">
      <c r="A1530" s="44" t="str">
        <f>IF(COUNTA(B1530)&gt;0,1522,"")</f>
        <v/>
      </c>
      <c r="G1530" s="25" t="str">
        <f t="shared" si="0"/>
        <v/>
      </c>
      <c r="N1530" s="44" t="str">
        <f>IF(COUNTA(B1530)&gt;0,C5,"")</f>
        <v/>
      </c>
      <c r="AO1530" t="str">
        <f t="shared" si="24"/>
        <v/>
      </c>
    </row>
    <row r="1531" spans="1:41" x14ac:dyDescent="0.2">
      <c r="A1531" s="44" t="str">
        <f>IF(COUNTA(B1531)&gt;0,1523,"")</f>
        <v/>
      </c>
      <c r="G1531" s="25" t="str">
        <f t="shared" si="0"/>
        <v/>
      </c>
      <c r="N1531" s="44" t="str">
        <f>IF(COUNTA(B1531)&gt;0,C5,"")</f>
        <v/>
      </c>
      <c r="AO1531" t="str">
        <f t="shared" si="24"/>
        <v/>
      </c>
    </row>
    <row r="1532" spans="1:41" x14ac:dyDescent="0.2">
      <c r="A1532" s="44" t="str">
        <f>IF(COUNTA(B1532)&gt;0,1524,"")</f>
        <v/>
      </c>
      <c r="G1532" s="25" t="str">
        <f t="shared" si="0"/>
        <v/>
      </c>
      <c r="N1532" s="44" t="str">
        <f>IF(COUNTA(B1532)&gt;0,C5,"")</f>
        <v/>
      </c>
      <c r="AO1532" t="str">
        <f t="shared" si="24"/>
        <v/>
      </c>
    </row>
    <row r="1533" spans="1:41" x14ac:dyDescent="0.2">
      <c r="A1533" s="44" t="str">
        <f>IF(COUNTA(B1533)&gt;0,1525,"")</f>
        <v/>
      </c>
      <c r="G1533" s="25" t="str">
        <f t="shared" si="0"/>
        <v/>
      </c>
      <c r="N1533" s="44" t="str">
        <f>IF(COUNTA(B1533)&gt;0,C5,"")</f>
        <v/>
      </c>
      <c r="AO1533" t="str">
        <f t="shared" si="24"/>
        <v/>
      </c>
    </row>
    <row r="1534" spans="1:41" x14ac:dyDescent="0.2">
      <c r="A1534" s="44" t="str">
        <f>IF(COUNTA(B1534)&gt;0,1526,"")</f>
        <v/>
      </c>
      <c r="G1534" s="25" t="str">
        <f t="shared" si="0"/>
        <v/>
      </c>
      <c r="N1534" s="44" t="str">
        <f>IF(COUNTA(B1534)&gt;0,C5,"")</f>
        <v/>
      </c>
      <c r="AO1534" t="str">
        <f t="shared" si="24"/>
        <v/>
      </c>
    </row>
    <row r="1535" spans="1:41" x14ac:dyDescent="0.2">
      <c r="A1535" s="44" t="str">
        <f>IF(COUNTA(B1535)&gt;0,1527,"")</f>
        <v/>
      </c>
      <c r="G1535" s="25" t="str">
        <f t="shared" si="0"/>
        <v/>
      </c>
      <c r="N1535" s="44" t="str">
        <f>IF(COUNTA(B1535)&gt;0,C5,"")</f>
        <v/>
      </c>
      <c r="AO1535" t="str">
        <f t="shared" si="24"/>
        <v/>
      </c>
    </row>
    <row r="1536" spans="1:41" x14ac:dyDescent="0.2">
      <c r="A1536" s="44" t="str">
        <f>IF(COUNTA(B1536)&gt;0,1528,"")</f>
        <v/>
      </c>
      <c r="G1536" s="25" t="str">
        <f t="shared" si="0"/>
        <v/>
      </c>
      <c r="N1536" s="44" t="str">
        <f>IF(COUNTA(B1536)&gt;0,C5,"")</f>
        <v/>
      </c>
      <c r="AO1536" t="str">
        <f t="shared" si="24"/>
        <v/>
      </c>
    </row>
    <row r="1537" spans="1:41" x14ac:dyDescent="0.2">
      <c r="A1537" s="44" t="str">
        <f>IF(COUNTA(B1537)&gt;0,1529,"")</f>
        <v/>
      </c>
      <c r="G1537" s="25" t="str">
        <f t="shared" si="0"/>
        <v/>
      </c>
      <c r="N1537" s="44" t="str">
        <f>IF(COUNTA(B1537)&gt;0,C5,"")</f>
        <v/>
      </c>
      <c r="AO1537" t="str">
        <f t="shared" si="24"/>
        <v/>
      </c>
    </row>
    <row r="1538" spans="1:41" x14ac:dyDescent="0.2">
      <c r="A1538" s="44" t="str">
        <f>IF(COUNTA(B1538)&gt;0,1530,"")</f>
        <v/>
      </c>
      <c r="G1538" s="25" t="str">
        <f t="shared" si="0"/>
        <v/>
      </c>
      <c r="N1538" s="44" t="str">
        <f>IF(COUNTA(B1538)&gt;0,C5,"")</f>
        <v/>
      </c>
      <c r="AO1538" t="str">
        <f t="shared" si="24"/>
        <v/>
      </c>
    </row>
    <row r="1539" spans="1:41" x14ac:dyDescent="0.2">
      <c r="A1539" s="44" t="str">
        <f>IF(COUNTA(B1539)&gt;0,1531,"")</f>
        <v/>
      </c>
      <c r="G1539" s="25" t="str">
        <f t="shared" si="0"/>
        <v/>
      </c>
      <c r="N1539" s="44" t="str">
        <f>IF(COUNTA(B1539)&gt;0,C5,"")</f>
        <v/>
      </c>
      <c r="AO1539" t="str">
        <f t="shared" si="24"/>
        <v/>
      </c>
    </row>
    <row r="1540" spans="1:41" x14ac:dyDescent="0.2">
      <c r="A1540" s="44" t="str">
        <f>IF(COUNTA(B1540)&gt;0,1532,"")</f>
        <v/>
      </c>
      <c r="G1540" s="25" t="str">
        <f t="shared" si="0"/>
        <v/>
      </c>
      <c r="N1540" s="44" t="str">
        <f>IF(COUNTA(B1540)&gt;0,C5,"")</f>
        <v/>
      </c>
      <c r="AO1540" t="str">
        <f t="shared" si="24"/>
        <v/>
      </c>
    </row>
    <row r="1541" spans="1:41" x14ac:dyDescent="0.2">
      <c r="A1541" s="44" t="str">
        <f>IF(COUNTA(B1541)&gt;0,1533,"")</f>
        <v/>
      </c>
      <c r="G1541" s="25" t="str">
        <f t="shared" si="0"/>
        <v/>
      </c>
      <c r="N1541" s="44" t="str">
        <f>IF(COUNTA(B1541)&gt;0,C5,"")</f>
        <v/>
      </c>
      <c r="AO1541" t="str">
        <f t="shared" si="24"/>
        <v/>
      </c>
    </row>
    <row r="1542" spans="1:41" x14ac:dyDescent="0.2">
      <c r="A1542" s="44" t="str">
        <f>IF(COUNTA(B1542)&gt;0,1534,"")</f>
        <v/>
      </c>
      <c r="G1542" s="25" t="str">
        <f t="shared" si="0"/>
        <v/>
      </c>
      <c r="N1542" s="44" t="str">
        <f>IF(COUNTA(B1542)&gt;0,C5,"")</f>
        <v/>
      </c>
      <c r="AO1542" t="str">
        <f t="shared" si="24"/>
        <v/>
      </c>
    </row>
    <row r="1543" spans="1:41" x14ac:dyDescent="0.2">
      <c r="A1543" s="44" t="str">
        <f>IF(COUNTA(B1543)&gt;0,1535,"")</f>
        <v/>
      </c>
      <c r="G1543" s="25" t="str">
        <f t="shared" si="0"/>
        <v/>
      </c>
      <c r="N1543" s="44" t="str">
        <f>IF(COUNTA(B1543)&gt;0,C5,"")</f>
        <v/>
      </c>
      <c r="AO1543" t="str">
        <f t="shared" si="24"/>
        <v/>
      </c>
    </row>
    <row r="1544" spans="1:41" x14ac:dyDescent="0.2">
      <c r="A1544" s="44" t="str">
        <f>IF(COUNTA(B1544)&gt;0,1536,"")</f>
        <v/>
      </c>
      <c r="G1544" s="25" t="str">
        <f t="shared" si="0"/>
        <v/>
      </c>
      <c r="N1544" s="44" t="str">
        <f>IF(COUNTA(B1544)&gt;0,C5,"")</f>
        <v/>
      </c>
      <c r="AO1544" t="str">
        <f t="shared" si="24"/>
        <v/>
      </c>
    </row>
    <row r="1545" spans="1:41" x14ac:dyDescent="0.2">
      <c r="A1545" s="44" t="str">
        <f>IF(COUNTA(B1545)&gt;0,1537,"")</f>
        <v/>
      </c>
      <c r="G1545" s="25" t="str">
        <f t="shared" si="0"/>
        <v/>
      </c>
      <c r="N1545" s="44" t="str">
        <f>IF(COUNTA(B1545)&gt;0,C5,"")</f>
        <v/>
      </c>
      <c r="AO1545" t="str">
        <f t="shared" ref="AO1545:AO1608" si="25">IF(COUNTA(L1545:M1545)&lt;&gt;0,"Có",IF(COUNTA(B1545)&gt;0,"Không",""))</f>
        <v/>
      </c>
    </row>
    <row r="1546" spans="1:41" x14ac:dyDescent="0.2">
      <c r="A1546" s="44" t="str">
        <f>IF(COUNTA(B1546)&gt;0,1538,"")</f>
        <v/>
      </c>
      <c r="G1546" s="25" t="str">
        <f t="shared" si="0"/>
        <v/>
      </c>
      <c r="N1546" s="44" t="str">
        <f>IF(COUNTA(B1546)&gt;0,C5,"")</f>
        <v/>
      </c>
      <c r="AO1546" t="str">
        <f t="shared" si="25"/>
        <v/>
      </c>
    </row>
    <row r="1547" spans="1:41" x14ac:dyDescent="0.2">
      <c r="A1547" s="44" t="str">
        <f>IF(COUNTA(B1547)&gt;0,1539,"")</f>
        <v/>
      </c>
      <c r="G1547" s="25" t="str">
        <f t="shared" si="0"/>
        <v/>
      </c>
      <c r="N1547" s="44" t="str">
        <f>IF(COUNTA(B1547)&gt;0,C5,"")</f>
        <v/>
      </c>
      <c r="AO1547" t="str">
        <f t="shared" si="25"/>
        <v/>
      </c>
    </row>
    <row r="1548" spans="1:41" x14ac:dyDescent="0.2">
      <c r="A1548" s="44" t="str">
        <f>IF(COUNTA(B1548)&gt;0,1540,"")</f>
        <v/>
      </c>
      <c r="G1548" s="25" t="str">
        <f t="shared" si="0"/>
        <v/>
      </c>
      <c r="N1548" s="44" t="str">
        <f>IF(COUNTA(B1548)&gt;0,C5,"")</f>
        <v/>
      </c>
      <c r="AO1548" t="str">
        <f t="shared" si="25"/>
        <v/>
      </c>
    </row>
    <row r="1549" spans="1:41" x14ac:dyDescent="0.2">
      <c r="A1549" s="44" t="str">
        <f>IF(COUNTA(B1549)&gt;0,1541,"")</f>
        <v/>
      </c>
      <c r="G1549" s="25" t="str">
        <f t="shared" si="0"/>
        <v/>
      </c>
      <c r="N1549" s="44" t="str">
        <f>IF(COUNTA(B1549)&gt;0,C5,"")</f>
        <v/>
      </c>
      <c r="AO1549" t="str">
        <f t="shared" si="25"/>
        <v/>
      </c>
    </row>
    <row r="1550" spans="1:41" x14ac:dyDescent="0.2">
      <c r="A1550" s="44" t="str">
        <f>IF(COUNTA(B1550)&gt;0,1542,"")</f>
        <v/>
      </c>
      <c r="G1550" s="25" t="str">
        <f t="shared" si="0"/>
        <v/>
      </c>
      <c r="N1550" s="44" t="str">
        <f>IF(COUNTA(B1550)&gt;0,C5,"")</f>
        <v/>
      </c>
      <c r="AO1550" t="str">
        <f t="shared" si="25"/>
        <v/>
      </c>
    </row>
    <row r="1551" spans="1:41" x14ac:dyDescent="0.2">
      <c r="A1551" s="44" t="str">
        <f>IF(COUNTA(B1551)&gt;0,1543,"")</f>
        <v/>
      </c>
      <c r="G1551" s="25" t="str">
        <f t="shared" si="0"/>
        <v/>
      </c>
      <c r="N1551" s="44" t="str">
        <f>IF(COUNTA(B1551)&gt;0,C5,"")</f>
        <v/>
      </c>
      <c r="AO1551" t="str">
        <f t="shared" si="25"/>
        <v/>
      </c>
    </row>
    <row r="1552" spans="1:41" x14ac:dyDescent="0.2">
      <c r="A1552" s="44" t="str">
        <f>IF(COUNTA(B1552)&gt;0,1544,"")</f>
        <v/>
      </c>
      <c r="G1552" s="25" t="str">
        <f t="shared" si="0"/>
        <v/>
      </c>
      <c r="N1552" s="44" t="str">
        <f>IF(COUNTA(B1552)&gt;0,C5,"")</f>
        <v/>
      </c>
      <c r="AO1552" t="str">
        <f t="shared" si="25"/>
        <v/>
      </c>
    </row>
    <row r="1553" spans="1:41" x14ac:dyDescent="0.2">
      <c r="A1553" s="44" t="str">
        <f>IF(COUNTA(B1553)&gt;0,1545,"")</f>
        <v/>
      </c>
      <c r="G1553" s="25" t="str">
        <f t="shared" si="0"/>
        <v/>
      </c>
      <c r="N1553" s="44" t="str">
        <f>IF(COUNTA(B1553)&gt;0,C5,"")</f>
        <v/>
      </c>
      <c r="AO1553" t="str">
        <f t="shared" si="25"/>
        <v/>
      </c>
    </row>
    <row r="1554" spans="1:41" x14ac:dyDescent="0.2">
      <c r="A1554" s="44" t="str">
        <f>IF(COUNTA(B1554)&gt;0,1546,"")</f>
        <v/>
      </c>
      <c r="G1554" s="25" t="str">
        <f t="shared" si="0"/>
        <v/>
      </c>
      <c r="N1554" s="44" t="str">
        <f>IF(COUNTA(B1554)&gt;0,C5,"")</f>
        <v/>
      </c>
      <c r="AO1554" t="str">
        <f t="shared" si="25"/>
        <v/>
      </c>
    </row>
    <row r="1555" spans="1:41" x14ac:dyDescent="0.2">
      <c r="A1555" s="44" t="str">
        <f>IF(COUNTA(B1555)&gt;0,1547,"")</f>
        <v/>
      </c>
      <c r="G1555" s="25" t="str">
        <f t="shared" si="0"/>
        <v/>
      </c>
      <c r="N1555" s="44" t="str">
        <f>IF(COUNTA(B1555)&gt;0,C5,"")</f>
        <v/>
      </c>
      <c r="AO1555" t="str">
        <f t="shared" si="25"/>
        <v/>
      </c>
    </row>
    <row r="1556" spans="1:41" x14ac:dyDescent="0.2">
      <c r="A1556" s="44" t="str">
        <f>IF(COUNTA(B1556)&gt;0,1548,"")</f>
        <v/>
      </c>
      <c r="G1556" s="25" t="str">
        <f t="shared" si="0"/>
        <v/>
      </c>
      <c r="N1556" s="44" t="str">
        <f>IF(COUNTA(B1556)&gt;0,C5,"")</f>
        <v/>
      </c>
      <c r="AO1556" t="str">
        <f t="shared" si="25"/>
        <v/>
      </c>
    </row>
    <row r="1557" spans="1:41" x14ac:dyDescent="0.2">
      <c r="A1557" s="44" t="str">
        <f>IF(COUNTA(B1557)&gt;0,1549,"")</f>
        <v/>
      </c>
      <c r="G1557" s="25" t="str">
        <f t="shared" si="0"/>
        <v/>
      </c>
      <c r="N1557" s="44" t="str">
        <f>IF(COUNTA(B1557)&gt;0,C5,"")</f>
        <v/>
      </c>
      <c r="AO1557" t="str">
        <f t="shared" si="25"/>
        <v/>
      </c>
    </row>
    <row r="1558" spans="1:41" x14ac:dyDescent="0.2">
      <c r="A1558" s="44" t="str">
        <f>IF(COUNTA(B1558)&gt;0,1550,"")</f>
        <v/>
      </c>
      <c r="G1558" s="25" t="str">
        <f t="shared" si="0"/>
        <v/>
      </c>
      <c r="N1558" s="44" t="str">
        <f>IF(COUNTA(B1558)&gt;0,C5,"")</f>
        <v/>
      </c>
      <c r="AO1558" t="str">
        <f t="shared" si="25"/>
        <v/>
      </c>
    </row>
    <row r="1559" spans="1:41" x14ac:dyDescent="0.2">
      <c r="A1559" s="44" t="str">
        <f>IF(COUNTA(B1559)&gt;0,1551,"")</f>
        <v/>
      </c>
      <c r="G1559" s="25" t="str">
        <f t="shared" si="0"/>
        <v/>
      </c>
      <c r="N1559" s="44" t="str">
        <f>IF(COUNTA(B1559)&gt;0,C5,"")</f>
        <v/>
      </c>
      <c r="AO1559" t="str">
        <f t="shared" si="25"/>
        <v/>
      </c>
    </row>
    <row r="1560" spans="1:41" x14ac:dyDescent="0.2">
      <c r="A1560" s="44" t="str">
        <f>IF(COUNTA(B1560)&gt;0,1552,"")</f>
        <v/>
      </c>
      <c r="G1560" s="25" t="str">
        <f t="shared" si="0"/>
        <v/>
      </c>
      <c r="N1560" s="44" t="str">
        <f>IF(COUNTA(B1560)&gt;0,C5,"")</f>
        <v/>
      </c>
      <c r="AO1560" t="str">
        <f t="shared" si="25"/>
        <v/>
      </c>
    </row>
    <row r="1561" spans="1:41" x14ac:dyDescent="0.2">
      <c r="A1561" s="44" t="str">
        <f>IF(COUNTA(B1561)&gt;0,1553,"")</f>
        <v/>
      </c>
      <c r="G1561" s="25" t="str">
        <f t="shared" si="0"/>
        <v/>
      </c>
      <c r="N1561" s="44" t="str">
        <f>IF(COUNTA(B1561)&gt;0,C5,"")</f>
        <v/>
      </c>
      <c r="AO1561" t="str">
        <f t="shared" si="25"/>
        <v/>
      </c>
    </row>
    <row r="1562" spans="1:41" x14ac:dyDescent="0.2">
      <c r="A1562" s="44" t="str">
        <f>IF(COUNTA(B1562)&gt;0,1554,"")</f>
        <v/>
      </c>
      <c r="G1562" s="25" t="str">
        <f t="shared" si="0"/>
        <v/>
      </c>
      <c r="N1562" s="44" t="str">
        <f>IF(COUNTA(B1562)&gt;0,C5,"")</f>
        <v/>
      </c>
      <c r="AO1562" t="str">
        <f t="shared" si="25"/>
        <v/>
      </c>
    </row>
    <row r="1563" spans="1:41" x14ac:dyDescent="0.2">
      <c r="A1563" s="44" t="str">
        <f>IF(COUNTA(B1563)&gt;0,1555,"")</f>
        <v/>
      </c>
      <c r="G1563" s="25" t="str">
        <f t="shared" si="0"/>
        <v/>
      </c>
      <c r="N1563" s="44" t="str">
        <f>IF(COUNTA(B1563)&gt;0,C5,"")</f>
        <v/>
      </c>
      <c r="AO1563" t="str">
        <f t="shared" si="25"/>
        <v/>
      </c>
    </row>
    <row r="1564" spans="1:41" x14ac:dyDescent="0.2">
      <c r="A1564" s="44" t="str">
        <f>IF(COUNTA(B1564)&gt;0,1556,"")</f>
        <v/>
      </c>
      <c r="G1564" s="25" t="str">
        <f t="shared" si="0"/>
        <v/>
      </c>
      <c r="N1564" s="44" t="str">
        <f>IF(COUNTA(B1564)&gt;0,C5,"")</f>
        <v/>
      </c>
      <c r="AO1564" t="str">
        <f t="shared" si="25"/>
        <v/>
      </c>
    </row>
    <row r="1565" spans="1:41" x14ac:dyDescent="0.2">
      <c r="A1565" s="44" t="str">
        <f>IF(COUNTA(B1565)&gt;0,1557,"")</f>
        <v/>
      </c>
      <c r="G1565" s="25" t="str">
        <f t="shared" si="0"/>
        <v/>
      </c>
      <c r="N1565" s="44" t="str">
        <f>IF(COUNTA(B1565)&gt;0,C5,"")</f>
        <v/>
      </c>
      <c r="AO1565" t="str">
        <f t="shared" si="25"/>
        <v/>
      </c>
    </row>
    <row r="1566" spans="1:41" x14ac:dyDescent="0.2">
      <c r="A1566" s="44" t="str">
        <f>IF(COUNTA(B1566)&gt;0,1558,"")</f>
        <v/>
      </c>
      <c r="G1566" s="25" t="str">
        <f t="shared" si="0"/>
        <v/>
      </c>
      <c r="N1566" s="44" t="str">
        <f>IF(COUNTA(B1566)&gt;0,C5,"")</f>
        <v/>
      </c>
      <c r="AO1566" t="str">
        <f t="shared" si="25"/>
        <v/>
      </c>
    </row>
    <row r="1567" spans="1:41" x14ac:dyDescent="0.2">
      <c r="A1567" s="44" t="str">
        <f>IF(COUNTA(B1567)&gt;0,1559,"")</f>
        <v/>
      </c>
      <c r="G1567" s="25" t="str">
        <f t="shared" si="0"/>
        <v/>
      </c>
      <c r="N1567" s="44" t="str">
        <f>IF(COUNTA(B1567)&gt;0,C5,"")</f>
        <v/>
      </c>
      <c r="AO1567" t="str">
        <f t="shared" si="25"/>
        <v/>
      </c>
    </row>
    <row r="1568" spans="1:41" x14ac:dyDescent="0.2">
      <c r="A1568" s="44" t="str">
        <f>IF(COUNTA(B1568)&gt;0,1560,"")</f>
        <v/>
      </c>
      <c r="G1568" s="25" t="str">
        <f t="shared" si="0"/>
        <v/>
      </c>
      <c r="N1568" s="44" t="str">
        <f>IF(COUNTA(B1568)&gt;0,C5,"")</f>
        <v/>
      </c>
      <c r="AO1568" t="str">
        <f t="shared" si="25"/>
        <v/>
      </c>
    </row>
    <row r="1569" spans="1:41" x14ac:dyDescent="0.2">
      <c r="A1569" s="44" t="str">
        <f>IF(COUNTA(B1569)&gt;0,1561,"")</f>
        <v/>
      </c>
      <c r="G1569" s="25" t="str">
        <f t="shared" si="0"/>
        <v/>
      </c>
      <c r="N1569" s="44" t="str">
        <f>IF(COUNTA(B1569)&gt;0,C5,"")</f>
        <v/>
      </c>
      <c r="AO1569" t="str">
        <f t="shared" si="25"/>
        <v/>
      </c>
    </row>
    <row r="1570" spans="1:41" x14ac:dyDescent="0.2">
      <c r="A1570" s="44" t="str">
        <f>IF(COUNTA(B1570)&gt;0,1562,"")</f>
        <v/>
      </c>
      <c r="G1570" s="25" t="str">
        <f t="shared" si="0"/>
        <v/>
      </c>
      <c r="N1570" s="44" t="str">
        <f>IF(COUNTA(B1570)&gt;0,C5,"")</f>
        <v/>
      </c>
      <c r="AO1570" t="str">
        <f t="shared" si="25"/>
        <v/>
      </c>
    </row>
    <row r="1571" spans="1:41" x14ac:dyDescent="0.2">
      <c r="A1571" s="44" t="str">
        <f>IF(COUNTA(B1571)&gt;0,1563,"")</f>
        <v/>
      </c>
      <c r="G1571" s="25" t="str">
        <f t="shared" si="0"/>
        <v/>
      </c>
      <c r="N1571" s="44" t="str">
        <f>IF(COUNTA(B1571)&gt;0,C5,"")</f>
        <v/>
      </c>
      <c r="AO1571" t="str">
        <f t="shared" si="25"/>
        <v/>
      </c>
    </row>
    <row r="1572" spans="1:41" x14ac:dyDescent="0.2">
      <c r="A1572" s="44" t="str">
        <f>IF(COUNTA(B1572)&gt;0,1564,"")</f>
        <v/>
      </c>
      <c r="G1572" s="25" t="str">
        <f t="shared" si="0"/>
        <v/>
      </c>
      <c r="N1572" s="44" t="str">
        <f>IF(COUNTA(B1572)&gt;0,C5,"")</f>
        <v/>
      </c>
      <c r="AO1572" t="str">
        <f t="shared" si="25"/>
        <v/>
      </c>
    </row>
    <row r="1573" spans="1:41" x14ac:dyDescent="0.2">
      <c r="A1573" s="44" t="str">
        <f>IF(COUNTA(B1573)&gt;0,1565,"")</f>
        <v/>
      </c>
      <c r="G1573" s="25" t="str">
        <f t="shared" si="0"/>
        <v/>
      </c>
      <c r="N1573" s="44" t="str">
        <f>IF(COUNTA(B1573)&gt;0,C5,"")</f>
        <v/>
      </c>
      <c r="AO1573" t="str">
        <f t="shared" si="25"/>
        <v/>
      </c>
    </row>
    <row r="1574" spans="1:41" x14ac:dyDescent="0.2">
      <c r="A1574" s="44" t="str">
        <f>IF(COUNTA(B1574)&gt;0,1566,"")</f>
        <v/>
      </c>
      <c r="G1574" s="25" t="str">
        <f t="shared" si="0"/>
        <v/>
      </c>
      <c r="N1574" s="44" t="str">
        <f>IF(COUNTA(B1574)&gt;0,C5,"")</f>
        <v/>
      </c>
      <c r="AO1574" t="str">
        <f t="shared" si="25"/>
        <v/>
      </c>
    </row>
    <row r="1575" spans="1:41" x14ac:dyDescent="0.2">
      <c r="A1575" s="44" t="str">
        <f>IF(COUNTA(B1575)&gt;0,1567,"")</f>
        <v/>
      </c>
      <c r="G1575" s="25" t="str">
        <f t="shared" si="0"/>
        <v/>
      </c>
      <c r="N1575" s="44" t="str">
        <f>IF(COUNTA(B1575)&gt;0,C5,"")</f>
        <v/>
      </c>
      <c r="AO1575" t="str">
        <f t="shared" si="25"/>
        <v/>
      </c>
    </row>
    <row r="1576" spans="1:41" x14ac:dyDescent="0.2">
      <c r="A1576" s="44" t="str">
        <f>IF(COUNTA(B1576)&gt;0,1568,"")</f>
        <v/>
      </c>
      <c r="G1576" s="25" t="str">
        <f t="shared" si="0"/>
        <v/>
      </c>
      <c r="N1576" s="44" t="str">
        <f>IF(COUNTA(B1576)&gt;0,C5,"")</f>
        <v/>
      </c>
      <c r="AO1576" t="str">
        <f t="shared" si="25"/>
        <v/>
      </c>
    </row>
    <row r="1577" spans="1:41" x14ac:dyDescent="0.2">
      <c r="A1577" s="44" t="str">
        <f>IF(COUNTA(B1577)&gt;0,1569,"")</f>
        <v/>
      </c>
      <c r="G1577" s="25" t="str">
        <f t="shared" si="0"/>
        <v/>
      </c>
      <c r="N1577" s="44" t="str">
        <f>IF(COUNTA(B1577)&gt;0,C5,"")</f>
        <v/>
      </c>
      <c r="AO1577" t="str">
        <f t="shared" si="25"/>
        <v/>
      </c>
    </row>
    <row r="1578" spans="1:41" x14ac:dyDescent="0.2">
      <c r="A1578" s="44" t="str">
        <f>IF(COUNTA(B1578)&gt;0,1570,"")</f>
        <v/>
      </c>
      <c r="G1578" s="25" t="str">
        <f t="shared" si="0"/>
        <v/>
      </c>
      <c r="N1578" s="44" t="str">
        <f>IF(COUNTA(B1578)&gt;0,C5,"")</f>
        <v/>
      </c>
      <c r="AO1578" t="str">
        <f t="shared" si="25"/>
        <v/>
      </c>
    </row>
    <row r="1579" spans="1:41" x14ac:dyDescent="0.2">
      <c r="A1579" s="44" t="str">
        <f>IF(COUNTA(B1579)&gt;0,1571,"")</f>
        <v/>
      </c>
      <c r="G1579" s="25" t="str">
        <f t="shared" si="0"/>
        <v/>
      </c>
      <c r="N1579" s="44" t="str">
        <f>IF(COUNTA(B1579)&gt;0,C5,"")</f>
        <v/>
      </c>
      <c r="AO1579" t="str">
        <f t="shared" si="25"/>
        <v/>
      </c>
    </row>
    <row r="1580" spans="1:41" x14ac:dyDescent="0.2">
      <c r="A1580" s="44" t="str">
        <f>IF(COUNTA(B1580)&gt;0,1572,"")</f>
        <v/>
      </c>
      <c r="G1580" s="25" t="str">
        <f t="shared" si="0"/>
        <v/>
      </c>
      <c r="N1580" s="44" t="str">
        <f>IF(COUNTA(B1580)&gt;0,C5,"")</f>
        <v/>
      </c>
      <c r="AO1580" t="str">
        <f t="shared" si="25"/>
        <v/>
      </c>
    </row>
    <row r="1581" spans="1:41" x14ac:dyDescent="0.2">
      <c r="A1581" s="44" t="str">
        <f>IF(COUNTA(B1581)&gt;0,1573,"")</f>
        <v/>
      </c>
      <c r="G1581" s="25" t="str">
        <f t="shared" si="0"/>
        <v/>
      </c>
      <c r="N1581" s="44" t="str">
        <f>IF(COUNTA(B1581)&gt;0,C5,"")</f>
        <v/>
      </c>
      <c r="AO1581" t="str">
        <f t="shared" si="25"/>
        <v/>
      </c>
    </row>
    <row r="1582" spans="1:41" x14ac:dyDescent="0.2">
      <c r="A1582" s="44" t="str">
        <f>IF(COUNTA(B1582)&gt;0,1574,"")</f>
        <v/>
      </c>
      <c r="G1582" s="25" t="str">
        <f t="shared" si="0"/>
        <v/>
      </c>
      <c r="N1582" s="44" t="str">
        <f>IF(COUNTA(B1582)&gt;0,C5,"")</f>
        <v/>
      </c>
      <c r="AO1582" t="str">
        <f t="shared" si="25"/>
        <v/>
      </c>
    </row>
    <row r="1583" spans="1:41" x14ac:dyDescent="0.2">
      <c r="A1583" s="44" t="str">
        <f>IF(COUNTA(B1583)&gt;0,1575,"")</f>
        <v/>
      </c>
      <c r="G1583" s="25" t="str">
        <f t="shared" si="0"/>
        <v/>
      </c>
      <c r="N1583" s="44" t="str">
        <f>IF(COUNTA(B1583)&gt;0,C5,"")</f>
        <v/>
      </c>
      <c r="AO1583" t="str">
        <f t="shared" si="25"/>
        <v/>
      </c>
    </row>
    <row r="1584" spans="1:41" x14ac:dyDescent="0.2">
      <c r="A1584" s="44" t="str">
        <f>IF(COUNTA(B1584)&gt;0,1576,"")</f>
        <v/>
      </c>
      <c r="G1584" s="25" t="str">
        <f t="shared" si="0"/>
        <v/>
      </c>
      <c r="N1584" s="44" t="str">
        <f>IF(COUNTA(B1584)&gt;0,C5,"")</f>
        <v/>
      </c>
      <c r="AO1584" t="str">
        <f t="shared" si="25"/>
        <v/>
      </c>
    </row>
    <row r="1585" spans="1:41" x14ac:dyDescent="0.2">
      <c r="A1585" s="44" t="str">
        <f>IF(COUNTA(B1585)&gt;0,1577,"")</f>
        <v/>
      </c>
      <c r="G1585" s="25" t="str">
        <f t="shared" si="0"/>
        <v/>
      </c>
      <c r="N1585" s="44" t="str">
        <f>IF(COUNTA(B1585)&gt;0,C5,"")</f>
        <v/>
      </c>
      <c r="AO1585" t="str">
        <f t="shared" si="25"/>
        <v/>
      </c>
    </row>
    <row r="1586" spans="1:41" x14ac:dyDescent="0.2">
      <c r="A1586" s="44" t="str">
        <f>IF(COUNTA(B1586)&gt;0,1578,"")</f>
        <v/>
      </c>
      <c r="G1586" s="25" t="str">
        <f t="shared" si="0"/>
        <v/>
      </c>
      <c r="N1586" s="44" t="str">
        <f>IF(COUNTA(B1586)&gt;0,C5,"")</f>
        <v/>
      </c>
      <c r="AO1586" t="str">
        <f t="shared" si="25"/>
        <v/>
      </c>
    </row>
    <row r="1587" spans="1:41" x14ac:dyDescent="0.2">
      <c r="A1587" s="44" t="str">
        <f>IF(COUNTA(B1587)&gt;0,1579,"")</f>
        <v/>
      </c>
      <c r="G1587" s="25" t="str">
        <f t="shared" si="0"/>
        <v/>
      </c>
      <c r="N1587" s="44" t="str">
        <f>IF(COUNTA(B1587)&gt;0,C5,"")</f>
        <v/>
      </c>
      <c r="AO1587" t="str">
        <f t="shared" si="25"/>
        <v/>
      </c>
    </row>
    <row r="1588" spans="1:41" x14ac:dyDescent="0.2">
      <c r="A1588" s="44" t="str">
        <f>IF(COUNTA(B1588)&gt;0,1580,"")</f>
        <v/>
      </c>
      <c r="G1588" s="25" t="str">
        <f t="shared" si="0"/>
        <v/>
      </c>
      <c r="N1588" s="44" t="str">
        <f>IF(COUNTA(B1588)&gt;0,C5,"")</f>
        <v/>
      </c>
      <c r="AO1588" t="str">
        <f t="shared" si="25"/>
        <v/>
      </c>
    </row>
    <row r="1589" spans="1:41" x14ac:dyDescent="0.2">
      <c r="A1589" s="44" t="str">
        <f>IF(COUNTA(B1589)&gt;0,1581,"")</f>
        <v/>
      </c>
      <c r="G1589" s="25" t="str">
        <f t="shared" si="0"/>
        <v/>
      </c>
      <c r="N1589" s="44" t="str">
        <f>IF(COUNTA(B1589)&gt;0,C5,"")</f>
        <v/>
      </c>
      <c r="AO1589" t="str">
        <f t="shared" si="25"/>
        <v/>
      </c>
    </row>
    <row r="1590" spans="1:41" x14ac:dyDescent="0.2">
      <c r="A1590" s="44" t="str">
        <f>IF(COUNTA(B1590)&gt;0,1582,"")</f>
        <v/>
      </c>
      <c r="G1590" s="25" t="str">
        <f t="shared" si="0"/>
        <v/>
      </c>
      <c r="N1590" s="44" t="str">
        <f>IF(COUNTA(B1590)&gt;0,C5,"")</f>
        <v/>
      </c>
      <c r="AO1590" t="str">
        <f t="shared" si="25"/>
        <v/>
      </c>
    </row>
    <row r="1591" spans="1:41" x14ac:dyDescent="0.2">
      <c r="A1591" s="44" t="str">
        <f>IF(COUNTA(B1591)&gt;0,1583,"")</f>
        <v/>
      </c>
      <c r="G1591" s="25" t="str">
        <f t="shared" si="0"/>
        <v/>
      </c>
      <c r="N1591" s="44" t="str">
        <f>IF(COUNTA(B1591)&gt;0,C5,"")</f>
        <v/>
      </c>
      <c r="AO1591" t="str">
        <f t="shared" si="25"/>
        <v/>
      </c>
    </row>
    <row r="1592" spans="1:41" x14ac:dyDescent="0.2">
      <c r="A1592" s="44" t="str">
        <f>IF(COUNTA(B1592)&gt;0,1584,"")</f>
        <v/>
      </c>
      <c r="G1592" s="25" t="str">
        <f t="shared" si="0"/>
        <v/>
      </c>
      <c r="N1592" s="44" t="str">
        <f>IF(COUNTA(B1592)&gt;0,C5,"")</f>
        <v/>
      </c>
      <c r="AO1592" t="str">
        <f t="shared" si="25"/>
        <v/>
      </c>
    </row>
    <row r="1593" spans="1:41" x14ac:dyDescent="0.2">
      <c r="A1593" s="44" t="str">
        <f>IF(COUNTA(B1593)&gt;0,1585,"")</f>
        <v/>
      </c>
      <c r="G1593" s="25" t="str">
        <f t="shared" si="0"/>
        <v/>
      </c>
      <c r="N1593" s="44" t="str">
        <f>IF(COUNTA(B1593)&gt;0,C5,"")</f>
        <v/>
      </c>
      <c r="AO1593" t="str">
        <f t="shared" si="25"/>
        <v/>
      </c>
    </row>
    <row r="1594" spans="1:41" x14ac:dyDescent="0.2">
      <c r="A1594" s="44" t="str">
        <f>IF(COUNTA(B1594)&gt;0,1586,"")</f>
        <v/>
      </c>
      <c r="G1594" s="25" t="str">
        <f t="shared" si="0"/>
        <v/>
      </c>
      <c r="N1594" s="44" t="str">
        <f>IF(COUNTA(B1594)&gt;0,C5,"")</f>
        <v/>
      </c>
      <c r="AO1594" t="str">
        <f t="shared" si="25"/>
        <v/>
      </c>
    </row>
    <row r="1595" spans="1:41" x14ac:dyDescent="0.2">
      <c r="A1595" s="44" t="str">
        <f>IF(COUNTA(B1595)&gt;0,1587,"")</f>
        <v/>
      </c>
      <c r="G1595" s="25" t="str">
        <f t="shared" si="0"/>
        <v/>
      </c>
      <c r="N1595" s="44" t="str">
        <f>IF(COUNTA(B1595)&gt;0,C5,"")</f>
        <v/>
      </c>
      <c r="AO1595" t="str">
        <f t="shared" si="25"/>
        <v/>
      </c>
    </row>
    <row r="1596" spans="1:41" x14ac:dyDescent="0.2">
      <c r="A1596" s="44" t="str">
        <f>IF(COUNTA(B1596)&gt;0,1588,"")</f>
        <v/>
      </c>
      <c r="G1596" s="25" t="str">
        <f t="shared" si="0"/>
        <v/>
      </c>
      <c r="N1596" s="44" t="str">
        <f>IF(COUNTA(B1596)&gt;0,C5,"")</f>
        <v/>
      </c>
      <c r="AO1596" t="str">
        <f t="shared" si="25"/>
        <v/>
      </c>
    </row>
    <row r="1597" spans="1:41" x14ac:dyDescent="0.2">
      <c r="A1597" s="44" t="str">
        <f>IF(COUNTA(B1597)&gt;0,1589,"")</f>
        <v/>
      </c>
      <c r="G1597" s="25" t="str">
        <f t="shared" si="0"/>
        <v/>
      </c>
      <c r="N1597" s="44" t="str">
        <f>IF(COUNTA(B1597)&gt;0,C5,"")</f>
        <v/>
      </c>
      <c r="AO1597" t="str">
        <f t="shared" si="25"/>
        <v/>
      </c>
    </row>
    <row r="1598" spans="1:41" x14ac:dyDescent="0.2">
      <c r="A1598" s="44" t="str">
        <f>IF(COUNTA(B1598)&gt;0,1590,"")</f>
        <v/>
      </c>
      <c r="G1598" s="25" t="str">
        <f t="shared" si="0"/>
        <v/>
      </c>
      <c r="N1598" s="44" t="str">
        <f>IF(COUNTA(B1598)&gt;0,C5,"")</f>
        <v/>
      </c>
      <c r="AO1598" t="str">
        <f t="shared" si="25"/>
        <v/>
      </c>
    </row>
    <row r="1599" spans="1:41" x14ac:dyDescent="0.2">
      <c r="A1599" s="44" t="str">
        <f>IF(COUNTA(B1599)&gt;0,1591,"")</f>
        <v/>
      </c>
      <c r="G1599" s="25" t="str">
        <f t="shared" si="0"/>
        <v/>
      </c>
      <c r="N1599" s="44" t="str">
        <f>IF(COUNTA(B1599)&gt;0,C5,"")</f>
        <v/>
      </c>
      <c r="AO1599" t="str">
        <f t="shared" si="25"/>
        <v/>
      </c>
    </row>
    <row r="1600" spans="1:41" x14ac:dyDescent="0.2">
      <c r="A1600" s="44" t="str">
        <f>IF(COUNTA(B1600)&gt;0,1592,"")</f>
        <v/>
      </c>
      <c r="G1600" s="25" t="str">
        <f t="shared" si="0"/>
        <v/>
      </c>
      <c r="N1600" s="44" t="str">
        <f>IF(COUNTA(B1600)&gt;0,C5,"")</f>
        <v/>
      </c>
      <c r="AO1600" t="str">
        <f t="shared" si="25"/>
        <v/>
      </c>
    </row>
    <row r="1601" spans="1:41" x14ac:dyDescent="0.2">
      <c r="A1601" s="44" t="str">
        <f>IF(COUNTA(B1601)&gt;0,1593,"")</f>
        <v/>
      </c>
      <c r="G1601" s="25" t="str">
        <f t="shared" si="0"/>
        <v/>
      </c>
      <c r="N1601" s="44" t="str">
        <f>IF(COUNTA(B1601)&gt;0,C5,"")</f>
        <v/>
      </c>
      <c r="AO1601" t="str">
        <f t="shared" si="25"/>
        <v/>
      </c>
    </row>
    <row r="1602" spans="1:41" x14ac:dyDescent="0.2">
      <c r="A1602" s="44" t="str">
        <f>IF(COUNTA(B1602)&gt;0,1594,"")</f>
        <v/>
      </c>
      <c r="G1602" s="25" t="str">
        <f t="shared" si="0"/>
        <v/>
      </c>
      <c r="N1602" s="44" t="str">
        <f>IF(COUNTA(B1602)&gt;0,C5,"")</f>
        <v/>
      </c>
      <c r="AO1602" t="str">
        <f t="shared" si="25"/>
        <v/>
      </c>
    </row>
    <row r="1603" spans="1:41" x14ac:dyDescent="0.2">
      <c r="A1603" s="44" t="str">
        <f>IF(COUNTA(B1603)&gt;0,1595,"")</f>
        <v/>
      </c>
      <c r="G1603" s="25" t="str">
        <f t="shared" si="0"/>
        <v/>
      </c>
      <c r="N1603" s="44" t="str">
        <f>IF(COUNTA(B1603)&gt;0,C5,"")</f>
        <v/>
      </c>
      <c r="AO1603" t="str">
        <f t="shared" si="25"/>
        <v/>
      </c>
    </row>
    <row r="1604" spans="1:41" x14ac:dyDescent="0.2">
      <c r="A1604" s="44" t="str">
        <f>IF(COUNTA(B1604)&gt;0,1596,"")</f>
        <v/>
      </c>
      <c r="G1604" s="25" t="str">
        <f t="shared" si="0"/>
        <v/>
      </c>
      <c r="N1604" s="44" t="str">
        <f>IF(COUNTA(B1604)&gt;0,C5,"")</f>
        <v/>
      </c>
      <c r="AO1604" t="str">
        <f t="shared" si="25"/>
        <v/>
      </c>
    </row>
    <row r="1605" spans="1:41" x14ac:dyDescent="0.2">
      <c r="A1605" s="44" t="str">
        <f>IF(COUNTA(B1605)&gt;0,1597,"")</f>
        <v/>
      </c>
      <c r="G1605" s="25" t="str">
        <f t="shared" si="0"/>
        <v/>
      </c>
      <c r="N1605" s="44" t="str">
        <f>IF(COUNTA(B1605)&gt;0,C5,"")</f>
        <v/>
      </c>
      <c r="AO1605" t="str">
        <f t="shared" si="25"/>
        <v/>
      </c>
    </row>
    <row r="1606" spans="1:41" x14ac:dyDescent="0.2">
      <c r="A1606" s="44" t="str">
        <f>IF(COUNTA(B1606)&gt;0,1598,"")</f>
        <v/>
      </c>
      <c r="G1606" s="25" t="str">
        <f t="shared" si="0"/>
        <v/>
      </c>
      <c r="N1606" s="44" t="str">
        <f>IF(COUNTA(B1606)&gt;0,C5,"")</f>
        <v/>
      </c>
      <c r="AO1606" t="str">
        <f t="shared" si="25"/>
        <v/>
      </c>
    </row>
    <row r="1607" spans="1:41" x14ac:dyDescent="0.2">
      <c r="A1607" s="44" t="str">
        <f>IF(COUNTA(B1607)&gt;0,1599,"")</f>
        <v/>
      </c>
      <c r="G1607" s="25" t="str">
        <f t="shared" si="0"/>
        <v/>
      </c>
      <c r="N1607" s="44" t="str">
        <f>IF(COUNTA(B1607)&gt;0,C5,"")</f>
        <v/>
      </c>
      <c r="AO1607" t="str">
        <f t="shared" si="25"/>
        <v/>
      </c>
    </row>
    <row r="1608" spans="1:41" x14ac:dyDescent="0.2">
      <c r="A1608" s="44" t="str">
        <f>IF(COUNTA(B1608)&gt;0,1600,"")</f>
        <v/>
      </c>
      <c r="G1608" s="25" t="str">
        <f t="shared" si="0"/>
        <v/>
      </c>
      <c r="N1608" s="44" t="str">
        <f>IF(COUNTA(B1608)&gt;0,C5,"")</f>
        <v/>
      </c>
      <c r="AO1608" t="str">
        <f t="shared" si="25"/>
        <v/>
      </c>
    </row>
    <row r="1609" spans="1:41" x14ac:dyDescent="0.2">
      <c r="A1609" s="44" t="str">
        <f>IF(COUNTA(B1609)&gt;0,1601,"")</f>
        <v/>
      </c>
      <c r="G1609" s="25" t="str">
        <f t="shared" si="0"/>
        <v/>
      </c>
      <c r="N1609" s="44" t="str">
        <f>IF(COUNTA(B1609)&gt;0,C5,"")</f>
        <v/>
      </c>
      <c r="AO1609" t="str">
        <f t="shared" ref="AO1609:AO1672" si="26">IF(COUNTA(L1609:M1609)&lt;&gt;0,"Có",IF(COUNTA(B1609)&gt;0,"Không",""))</f>
        <v/>
      </c>
    </row>
    <row r="1610" spans="1:41" x14ac:dyDescent="0.2">
      <c r="A1610" s="44" t="str">
        <f>IF(COUNTA(B1610)&gt;0,1602,"")</f>
        <v/>
      </c>
      <c r="G1610" s="25" t="str">
        <f t="shared" si="0"/>
        <v/>
      </c>
      <c r="N1610" s="44" t="str">
        <f>IF(COUNTA(B1610)&gt;0,C5,"")</f>
        <v/>
      </c>
      <c r="AO1610" t="str">
        <f t="shared" si="26"/>
        <v/>
      </c>
    </row>
    <row r="1611" spans="1:41" x14ac:dyDescent="0.2">
      <c r="A1611" s="44" t="str">
        <f>IF(COUNTA(B1611)&gt;0,1603,"")</f>
        <v/>
      </c>
      <c r="G1611" s="25" t="str">
        <f t="shared" si="0"/>
        <v/>
      </c>
      <c r="N1611" s="44" t="str">
        <f>IF(COUNTA(B1611)&gt;0,C5,"")</f>
        <v/>
      </c>
      <c r="AO1611" t="str">
        <f t="shared" si="26"/>
        <v/>
      </c>
    </row>
    <row r="1612" spans="1:41" x14ac:dyDescent="0.2">
      <c r="A1612" s="44" t="str">
        <f>IF(COUNTA(B1612)&gt;0,1604,"")</f>
        <v/>
      </c>
      <c r="G1612" s="25" t="str">
        <f t="shared" si="0"/>
        <v/>
      </c>
      <c r="N1612" s="44" t="str">
        <f>IF(COUNTA(B1612)&gt;0,C5,"")</f>
        <v/>
      </c>
      <c r="AO1612" t="str">
        <f t="shared" si="26"/>
        <v/>
      </c>
    </row>
    <row r="1613" spans="1:41" x14ac:dyDescent="0.2">
      <c r="A1613" s="44" t="str">
        <f>IF(COUNTA(B1613)&gt;0,1605,"")</f>
        <v/>
      </c>
      <c r="G1613" s="25" t="str">
        <f t="shared" si="0"/>
        <v/>
      </c>
      <c r="N1613" s="44" t="str">
        <f>IF(COUNTA(B1613)&gt;0,C5,"")</f>
        <v/>
      </c>
      <c r="AO1613" t="str">
        <f t="shared" si="26"/>
        <v/>
      </c>
    </row>
    <row r="1614" spans="1:41" x14ac:dyDescent="0.2">
      <c r="A1614" s="44" t="str">
        <f>IF(COUNTA(B1614)&gt;0,1606,"")</f>
        <v/>
      </c>
      <c r="G1614" s="25" t="str">
        <f t="shared" si="0"/>
        <v/>
      </c>
      <c r="N1614" s="44" t="str">
        <f>IF(COUNTA(B1614)&gt;0,C5,"")</f>
        <v/>
      </c>
      <c r="AO1614" t="str">
        <f t="shared" si="26"/>
        <v/>
      </c>
    </row>
    <row r="1615" spans="1:41" x14ac:dyDescent="0.2">
      <c r="A1615" s="44" t="str">
        <f>IF(COUNTA(B1615)&gt;0,1607,"")</f>
        <v/>
      </c>
      <c r="G1615" s="25" t="str">
        <f t="shared" si="0"/>
        <v/>
      </c>
      <c r="N1615" s="44" t="str">
        <f>IF(COUNTA(B1615)&gt;0,C5,"")</f>
        <v/>
      </c>
      <c r="AO1615" t="str">
        <f t="shared" si="26"/>
        <v/>
      </c>
    </row>
    <row r="1616" spans="1:41" x14ac:dyDescent="0.2">
      <c r="A1616" s="44" t="str">
        <f>IF(COUNTA(B1616)&gt;0,1608,"")</f>
        <v/>
      </c>
      <c r="G1616" s="25" t="str">
        <f t="shared" si="0"/>
        <v/>
      </c>
      <c r="N1616" s="44" t="str">
        <f>IF(COUNTA(B1616)&gt;0,C5,"")</f>
        <v/>
      </c>
      <c r="AO1616" t="str">
        <f t="shared" si="26"/>
        <v/>
      </c>
    </row>
    <row r="1617" spans="1:41" x14ac:dyDescent="0.2">
      <c r="A1617" s="44" t="str">
        <f>IF(COUNTA(B1617)&gt;0,1609,"")</f>
        <v/>
      </c>
      <c r="G1617" s="25" t="str">
        <f t="shared" si="0"/>
        <v/>
      </c>
      <c r="N1617" s="44" t="str">
        <f>IF(COUNTA(B1617)&gt;0,C5,"")</f>
        <v/>
      </c>
      <c r="AO1617" t="str">
        <f t="shared" si="26"/>
        <v/>
      </c>
    </row>
    <row r="1618" spans="1:41" x14ac:dyDescent="0.2">
      <c r="A1618" s="44" t="str">
        <f>IF(COUNTA(B1618)&gt;0,1610,"")</f>
        <v/>
      </c>
      <c r="G1618" s="25" t="str">
        <f t="shared" si="0"/>
        <v/>
      </c>
      <c r="N1618" s="44" t="str">
        <f>IF(COUNTA(B1618)&gt;0,C5,"")</f>
        <v/>
      </c>
      <c r="AO1618" t="str">
        <f t="shared" si="26"/>
        <v/>
      </c>
    </row>
    <row r="1619" spans="1:41" x14ac:dyDescent="0.2">
      <c r="A1619" s="44" t="str">
        <f>IF(COUNTA(B1619)&gt;0,1611,"")</f>
        <v/>
      </c>
      <c r="G1619" s="25" t="str">
        <f t="shared" si="0"/>
        <v/>
      </c>
      <c r="N1619" s="44" t="str">
        <f>IF(COUNTA(B1619)&gt;0,C5,"")</f>
        <v/>
      </c>
      <c r="AO1619" t="str">
        <f t="shared" si="26"/>
        <v/>
      </c>
    </row>
    <row r="1620" spans="1:41" x14ac:dyDescent="0.2">
      <c r="A1620" s="44" t="str">
        <f>IF(COUNTA(B1620)&gt;0,1612,"")</f>
        <v/>
      </c>
      <c r="G1620" s="25" t="str">
        <f t="shared" si="0"/>
        <v/>
      </c>
      <c r="N1620" s="44" t="str">
        <f>IF(COUNTA(B1620)&gt;0,C5,"")</f>
        <v/>
      </c>
      <c r="AO1620" t="str">
        <f t="shared" si="26"/>
        <v/>
      </c>
    </row>
    <row r="1621" spans="1:41" x14ac:dyDescent="0.2">
      <c r="A1621" s="44" t="str">
        <f>IF(COUNTA(B1621)&gt;0,1613,"")</f>
        <v/>
      </c>
      <c r="G1621" s="25" t="str">
        <f t="shared" si="0"/>
        <v/>
      </c>
      <c r="N1621" s="44" t="str">
        <f>IF(COUNTA(B1621)&gt;0,C5,"")</f>
        <v/>
      </c>
      <c r="AO1621" t="str">
        <f t="shared" si="26"/>
        <v/>
      </c>
    </row>
    <row r="1622" spans="1:41" x14ac:dyDescent="0.2">
      <c r="A1622" s="44" t="str">
        <f>IF(COUNTA(B1622)&gt;0,1614,"")</f>
        <v/>
      </c>
      <c r="G1622" s="25" t="str">
        <f t="shared" si="0"/>
        <v/>
      </c>
      <c r="N1622" s="44" t="str">
        <f>IF(COUNTA(B1622)&gt;0,C5,"")</f>
        <v/>
      </c>
      <c r="AO1622" t="str">
        <f t="shared" si="26"/>
        <v/>
      </c>
    </row>
    <row r="1623" spans="1:41" x14ac:dyDescent="0.2">
      <c r="A1623" s="44" t="str">
        <f>IF(COUNTA(B1623)&gt;0,1615,"")</f>
        <v/>
      </c>
      <c r="G1623" s="25" t="str">
        <f t="shared" si="0"/>
        <v/>
      </c>
      <c r="N1623" s="44" t="str">
        <f>IF(COUNTA(B1623)&gt;0,C5,"")</f>
        <v/>
      </c>
      <c r="AO1623" t="str">
        <f t="shared" si="26"/>
        <v/>
      </c>
    </row>
    <row r="1624" spans="1:41" x14ac:dyDescent="0.2">
      <c r="A1624" s="44" t="str">
        <f>IF(COUNTA(B1624)&gt;0,1616,"")</f>
        <v/>
      </c>
      <c r="G1624" s="25" t="str">
        <f t="shared" si="0"/>
        <v/>
      </c>
      <c r="N1624" s="44" t="str">
        <f>IF(COUNTA(B1624)&gt;0,C5,"")</f>
        <v/>
      </c>
      <c r="AO1624" t="str">
        <f t="shared" si="26"/>
        <v/>
      </c>
    </row>
    <row r="1625" spans="1:41" x14ac:dyDescent="0.2">
      <c r="A1625" s="44" t="str">
        <f>IF(COUNTA(B1625)&gt;0,1617,"")</f>
        <v/>
      </c>
      <c r="G1625" s="25" t="str">
        <f t="shared" si="0"/>
        <v/>
      </c>
      <c r="N1625" s="44" t="str">
        <f>IF(COUNTA(B1625)&gt;0,C5,"")</f>
        <v/>
      </c>
      <c r="AO1625" t="str">
        <f t="shared" si="26"/>
        <v/>
      </c>
    </row>
    <row r="1626" spans="1:41" x14ac:dyDescent="0.2">
      <c r="A1626" s="44" t="str">
        <f>IF(COUNTA(B1626)&gt;0,1618,"")</f>
        <v/>
      </c>
      <c r="G1626" s="25" t="str">
        <f t="shared" si="0"/>
        <v/>
      </c>
      <c r="N1626" s="44" t="str">
        <f>IF(COUNTA(B1626)&gt;0,C5,"")</f>
        <v/>
      </c>
      <c r="AO1626" t="str">
        <f t="shared" si="26"/>
        <v/>
      </c>
    </row>
    <row r="1627" spans="1:41" x14ac:dyDescent="0.2">
      <c r="A1627" s="44" t="str">
        <f>IF(COUNTA(B1627)&gt;0,1619,"")</f>
        <v/>
      </c>
      <c r="G1627" s="25" t="str">
        <f t="shared" si="0"/>
        <v/>
      </c>
      <c r="N1627" s="44" t="str">
        <f>IF(COUNTA(B1627)&gt;0,C5,"")</f>
        <v/>
      </c>
      <c r="AO1627" t="str">
        <f t="shared" si="26"/>
        <v/>
      </c>
    </row>
    <row r="1628" spans="1:41" x14ac:dyDescent="0.2">
      <c r="A1628" s="44" t="str">
        <f>IF(COUNTA(B1628)&gt;0,1620,"")</f>
        <v/>
      </c>
      <c r="G1628" s="25" t="str">
        <f t="shared" si="0"/>
        <v/>
      </c>
      <c r="N1628" s="44" t="str">
        <f>IF(COUNTA(B1628)&gt;0,C5,"")</f>
        <v/>
      </c>
      <c r="AO1628" t="str">
        <f t="shared" si="26"/>
        <v/>
      </c>
    </row>
    <row r="1629" spans="1:41" x14ac:dyDescent="0.2">
      <c r="A1629" s="44" t="str">
        <f>IF(COUNTA(B1629)&gt;0,1621,"")</f>
        <v/>
      </c>
      <c r="G1629" s="25" t="str">
        <f t="shared" si="0"/>
        <v/>
      </c>
      <c r="N1629" s="44" t="str">
        <f>IF(COUNTA(B1629)&gt;0,C5,"")</f>
        <v/>
      </c>
      <c r="AO1629" t="str">
        <f t="shared" si="26"/>
        <v/>
      </c>
    </row>
    <row r="1630" spans="1:41" x14ac:dyDescent="0.2">
      <c r="A1630" s="44" t="str">
        <f>IF(COUNTA(B1630)&gt;0,1622,"")</f>
        <v/>
      </c>
      <c r="G1630" s="25" t="str">
        <f t="shared" si="0"/>
        <v/>
      </c>
      <c r="N1630" s="44" t="str">
        <f>IF(COUNTA(B1630)&gt;0,C5,"")</f>
        <v/>
      </c>
      <c r="AO1630" t="str">
        <f t="shared" si="26"/>
        <v/>
      </c>
    </row>
    <row r="1631" spans="1:41" x14ac:dyDescent="0.2">
      <c r="A1631" s="44" t="str">
        <f>IF(COUNTA(B1631)&gt;0,1623,"")</f>
        <v/>
      </c>
      <c r="G1631" s="25" t="str">
        <f t="shared" si="0"/>
        <v/>
      </c>
      <c r="N1631" s="44" t="str">
        <f>IF(COUNTA(B1631)&gt;0,C5,"")</f>
        <v/>
      </c>
      <c r="AO1631" t="str">
        <f t="shared" si="26"/>
        <v/>
      </c>
    </row>
    <row r="1632" spans="1:41" x14ac:dyDescent="0.2">
      <c r="A1632" s="44" t="str">
        <f>IF(COUNTA(B1632)&gt;0,1624,"")</f>
        <v/>
      </c>
      <c r="G1632" s="25" t="str">
        <f t="shared" si="0"/>
        <v/>
      </c>
      <c r="N1632" s="44" t="str">
        <f>IF(COUNTA(B1632)&gt;0,C5,"")</f>
        <v/>
      </c>
      <c r="AO1632" t="str">
        <f t="shared" si="26"/>
        <v/>
      </c>
    </row>
    <row r="1633" spans="1:41" x14ac:dyDescent="0.2">
      <c r="A1633" s="44" t="str">
        <f>IF(COUNTA(B1633)&gt;0,1625,"")</f>
        <v/>
      </c>
      <c r="G1633" s="25" t="str">
        <f t="shared" si="0"/>
        <v/>
      </c>
      <c r="N1633" s="44" t="str">
        <f>IF(COUNTA(B1633)&gt;0,C5,"")</f>
        <v/>
      </c>
      <c r="AO1633" t="str">
        <f t="shared" si="26"/>
        <v/>
      </c>
    </row>
    <row r="1634" spans="1:41" x14ac:dyDescent="0.2">
      <c r="A1634" s="44" t="str">
        <f>IF(COUNTA(B1634)&gt;0,1626,"")</f>
        <v/>
      </c>
      <c r="G1634" s="25" t="str">
        <f t="shared" si="0"/>
        <v/>
      </c>
      <c r="N1634" s="44" t="str">
        <f>IF(COUNTA(B1634)&gt;0,C5,"")</f>
        <v/>
      </c>
      <c r="AO1634" t="str">
        <f t="shared" si="26"/>
        <v/>
      </c>
    </row>
    <row r="1635" spans="1:41" x14ac:dyDescent="0.2">
      <c r="A1635" s="44" t="str">
        <f>IF(COUNTA(B1635)&gt;0,1627,"")</f>
        <v/>
      </c>
      <c r="G1635" s="25" t="str">
        <f t="shared" si="0"/>
        <v/>
      </c>
      <c r="N1635" s="44" t="str">
        <f>IF(COUNTA(B1635)&gt;0,C5,"")</f>
        <v/>
      </c>
      <c r="AO1635" t="str">
        <f t="shared" si="26"/>
        <v/>
      </c>
    </row>
    <row r="1636" spans="1:41" x14ac:dyDescent="0.2">
      <c r="A1636" s="44" t="str">
        <f>IF(COUNTA(B1636)&gt;0,1628,"")</f>
        <v/>
      </c>
      <c r="G1636" s="25" t="str">
        <f t="shared" si="0"/>
        <v/>
      </c>
      <c r="N1636" s="44" t="str">
        <f>IF(COUNTA(B1636)&gt;0,C5,"")</f>
        <v/>
      </c>
      <c r="AO1636" t="str">
        <f t="shared" si="26"/>
        <v/>
      </c>
    </row>
    <row r="1637" spans="1:41" x14ac:dyDescent="0.2">
      <c r="A1637" s="44" t="str">
        <f>IF(COUNTA(B1637)&gt;0,1629,"")</f>
        <v/>
      </c>
      <c r="G1637" s="25" t="str">
        <f t="shared" si="0"/>
        <v/>
      </c>
      <c r="N1637" s="44" t="str">
        <f>IF(COUNTA(B1637)&gt;0,C5,"")</f>
        <v/>
      </c>
      <c r="AO1637" t="str">
        <f t="shared" si="26"/>
        <v/>
      </c>
    </row>
    <row r="1638" spans="1:41" x14ac:dyDescent="0.2">
      <c r="A1638" s="44" t="str">
        <f>IF(COUNTA(B1638)&gt;0,1630,"")</f>
        <v/>
      </c>
      <c r="G1638" s="25" t="str">
        <f t="shared" si="0"/>
        <v/>
      </c>
      <c r="N1638" s="44" t="str">
        <f>IF(COUNTA(B1638)&gt;0,C5,"")</f>
        <v/>
      </c>
      <c r="AO1638" t="str">
        <f t="shared" si="26"/>
        <v/>
      </c>
    </row>
    <row r="1639" spans="1:41" x14ac:dyDescent="0.2">
      <c r="A1639" s="44" t="str">
        <f>IF(COUNTA(B1639)&gt;0,1631,"")</f>
        <v/>
      </c>
      <c r="G1639" s="25" t="str">
        <f t="shared" si="0"/>
        <v/>
      </c>
      <c r="N1639" s="44" t="str">
        <f>IF(COUNTA(B1639)&gt;0,C5,"")</f>
        <v/>
      </c>
      <c r="AO1639" t="str">
        <f t="shared" si="26"/>
        <v/>
      </c>
    </row>
    <row r="1640" spans="1:41" x14ac:dyDescent="0.2">
      <c r="A1640" s="44" t="str">
        <f>IF(COUNTA(B1640)&gt;0,1632,"")</f>
        <v/>
      </c>
      <c r="G1640" s="25" t="str">
        <f t="shared" si="0"/>
        <v/>
      </c>
      <c r="N1640" s="44" t="str">
        <f>IF(COUNTA(B1640)&gt;0,C5,"")</f>
        <v/>
      </c>
      <c r="AO1640" t="str">
        <f t="shared" si="26"/>
        <v/>
      </c>
    </row>
    <row r="1641" spans="1:41" x14ac:dyDescent="0.2">
      <c r="A1641" s="44" t="str">
        <f>IF(COUNTA(B1641)&gt;0,1633,"")</f>
        <v/>
      </c>
      <c r="G1641" s="25" t="str">
        <f t="shared" si="0"/>
        <v/>
      </c>
      <c r="N1641" s="44" t="str">
        <f>IF(COUNTA(B1641)&gt;0,C5,"")</f>
        <v/>
      </c>
      <c r="AO1641" t="str">
        <f t="shared" si="26"/>
        <v/>
      </c>
    </row>
    <row r="1642" spans="1:41" x14ac:dyDescent="0.2">
      <c r="A1642" s="44" t="str">
        <f>IF(COUNTA(B1642)&gt;0,1634,"")</f>
        <v/>
      </c>
      <c r="G1642" s="25" t="str">
        <f t="shared" si="0"/>
        <v/>
      </c>
      <c r="N1642" s="44" t="str">
        <f>IF(COUNTA(B1642)&gt;0,C5,"")</f>
        <v/>
      </c>
      <c r="AO1642" t="str">
        <f t="shared" si="26"/>
        <v/>
      </c>
    </row>
    <row r="1643" spans="1:41" x14ac:dyDescent="0.2">
      <c r="A1643" s="44" t="str">
        <f>IF(COUNTA(B1643)&gt;0,1635,"")</f>
        <v/>
      </c>
      <c r="G1643" s="25" t="str">
        <f t="shared" si="0"/>
        <v/>
      </c>
      <c r="N1643" s="44" t="str">
        <f>IF(COUNTA(B1643)&gt;0,C5,"")</f>
        <v/>
      </c>
      <c r="AO1643" t="str">
        <f t="shared" si="26"/>
        <v/>
      </c>
    </row>
    <row r="1644" spans="1:41" x14ac:dyDescent="0.2">
      <c r="A1644" s="44" t="str">
        <f>IF(COUNTA(B1644)&gt;0,1636,"")</f>
        <v/>
      </c>
      <c r="G1644" s="25" t="str">
        <f t="shared" si="0"/>
        <v/>
      </c>
      <c r="N1644" s="44" t="str">
        <f>IF(COUNTA(B1644)&gt;0,C5,"")</f>
        <v/>
      </c>
      <c r="AO1644" t="str">
        <f t="shared" si="26"/>
        <v/>
      </c>
    </row>
    <row r="1645" spans="1:41" x14ac:dyDescent="0.2">
      <c r="A1645" s="44" t="str">
        <f>IF(COUNTA(B1645)&gt;0,1637,"")</f>
        <v/>
      </c>
      <c r="G1645" s="25" t="str">
        <f t="shared" si="0"/>
        <v/>
      </c>
      <c r="N1645" s="44" t="str">
        <f>IF(COUNTA(B1645)&gt;0,C5,"")</f>
        <v/>
      </c>
      <c r="AO1645" t="str">
        <f t="shared" si="26"/>
        <v/>
      </c>
    </row>
    <row r="1646" spans="1:41" x14ac:dyDescent="0.2">
      <c r="A1646" s="44" t="str">
        <f>IF(COUNTA(B1646)&gt;0,1638,"")</f>
        <v/>
      </c>
      <c r="G1646" s="25" t="str">
        <f t="shared" si="0"/>
        <v/>
      </c>
      <c r="N1646" s="44" t="str">
        <f>IF(COUNTA(B1646)&gt;0,C5,"")</f>
        <v/>
      </c>
      <c r="AO1646" t="str">
        <f t="shared" si="26"/>
        <v/>
      </c>
    </row>
    <row r="1647" spans="1:41" x14ac:dyDescent="0.2">
      <c r="A1647" s="44" t="str">
        <f>IF(COUNTA(B1647)&gt;0,1639,"")</f>
        <v/>
      </c>
      <c r="G1647" s="25" t="str">
        <f t="shared" si="0"/>
        <v/>
      </c>
      <c r="N1647" s="44" t="str">
        <f>IF(COUNTA(B1647)&gt;0,C5,"")</f>
        <v/>
      </c>
      <c r="AO1647" t="str">
        <f t="shared" si="26"/>
        <v/>
      </c>
    </row>
    <row r="1648" spans="1:41" x14ac:dyDescent="0.2">
      <c r="A1648" s="44" t="str">
        <f>IF(COUNTA(B1648)&gt;0,1640,"")</f>
        <v/>
      </c>
      <c r="G1648" s="25" t="str">
        <f t="shared" si="0"/>
        <v/>
      </c>
      <c r="N1648" s="44" t="str">
        <f>IF(COUNTA(B1648)&gt;0,C5,"")</f>
        <v/>
      </c>
      <c r="AO1648" t="str">
        <f t="shared" si="26"/>
        <v/>
      </c>
    </row>
    <row r="1649" spans="1:41" x14ac:dyDescent="0.2">
      <c r="A1649" s="44" t="str">
        <f>IF(COUNTA(B1649)&gt;0,1641,"")</f>
        <v/>
      </c>
      <c r="G1649" s="25" t="str">
        <f t="shared" si="0"/>
        <v/>
      </c>
      <c r="N1649" s="44" t="str">
        <f>IF(COUNTA(B1649)&gt;0,C5,"")</f>
        <v/>
      </c>
      <c r="AO1649" t="str">
        <f t="shared" si="26"/>
        <v/>
      </c>
    </row>
    <row r="1650" spans="1:41" x14ac:dyDescent="0.2">
      <c r="A1650" s="44" t="str">
        <f>IF(COUNTA(B1650)&gt;0,1642,"")</f>
        <v/>
      </c>
      <c r="G1650" s="25" t="str">
        <f t="shared" si="0"/>
        <v/>
      </c>
      <c r="N1650" s="44" t="str">
        <f>IF(COUNTA(B1650)&gt;0,C5,"")</f>
        <v/>
      </c>
      <c r="AO1650" t="str">
        <f t="shared" si="26"/>
        <v/>
      </c>
    </row>
    <row r="1651" spans="1:41" x14ac:dyDescent="0.2">
      <c r="A1651" s="44" t="str">
        <f>IF(COUNTA(B1651)&gt;0,1643,"")</f>
        <v/>
      </c>
      <c r="G1651" s="25" t="str">
        <f t="shared" si="0"/>
        <v/>
      </c>
      <c r="N1651" s="44" t="str">
        <f>IF(COUNTA(B1651)&gt;0,C5,"")</f>
        <v/>
      </c>
      <c r="AO1651" t="str">
        <f t="shared" si="26"/>
        <v/>
      </c>
    </row>
    <row r="1652" spans="1:41" x14ac:dyDescent="0.2">
      <c r="A1652" s="44" t="str">
        <f>IF(COUNTA(B1652)&gt;0,1644,"")</f>
        <v/>
      </c>
      <c r="G1652" s="25" t="str">
        <f t="shared" si="0"/>
        <v/>
      </c>
      <c r="N1652" s="44" t="str">
        <f>IF(COUNTA(B1652)&gt;0,C5,"")</f>
        <v/>
      </c>
      <c r="AO1652" t="str">
        <f t="shared" si="26"/>
        <v/>
      </c>
    </row>
    <row r="1653" spans="1:41" x14ac:dyDescent="0.2">
      <c r="A1653" s="44" t="str">
        <f>IF(COUNTA(B1653)&gt;0,1645,"")</f>
        <v/>
      </c>
      <c r="G1653" s="25" t="str">
        <f t="shared" si="0"/>
        <v/>
      </c>
      <c r="N1653" s="44" t="str">
        <f>IF(COUNTA(B1653)&gt;0,C5,"")</f>
        <v/>
      </c>
      <c r="AO1653" t="str">
        <f t="shared" si="26"/>
        <v/>
      </c>
    </row>
    <row r="1654" spans="1:41" x14ac:dyDescent="0.2">
      <c r="A1654" s="44" t="str">
        <f>IF(COUNTA(B1654)&gt;0,1646,"")</f>
        <v/>
      </c>
      <c r="G1654" s="25" t="str">
        <f t="shared" si="0"/>
        <v/>
      </c>
      <c r="N1654" s="44" t="str">
        <f>IF(COUNTA(B1654)&gt;0,C5,"")</f>
        <v/>
      </c>
      <c r="AO1654" t="str">
        <f t="shared" si="26"/>
        <v/>
      </c>
    </row>
    <row r="1655" spans="1:41" x14ac:dyDescent="0.2">
      <c r="A1655" s="44" t="str">
        <f>IF(COUNTA(B1655)&gt;0,1647,"")</f>
        <v/>
      </c>
      <c r="G1655" s="25" t="str">
        <f t="shared" si="0"/>
        <v/>
      </c>
      <c r="N1655" s="44" t="str">
        <f>IF(COUNTA(B1655)&gt;0,C5,"")</f>
        <v/>
      </c>
      <c r="AO1655" t="str">
        <f t="shared" si="26"/>
        <v/>
      </c>
    </row>
    <row r="1656" spans="1:41" x14ac:dyDescent="0.2">
      <c r="A1656" s="44" t="str">
        <f>IF(COUNTA(B1656)&gt;0,1648,"")</f>
        <v/>
      </c>
      <c r="G1656" s="25" t="str">
        <f t="shared" si="0"/>
        <v/>
      </c>
      <c r="N1656" s="44" t="str">
        <f>IF(COUNTA(B1656)&gt;0,C5,"")</f>
        <v/>
      </c>
      <c r="AO1656" t="str">
        <f t="shared" si="26"/>
        <v/>
      </c>
    </row>
    <row r="1657" spans="1:41" x14ac:dyDescent="0.2">
      <c r="A1657" s="44" t="str">
        <f>IF(COUNTA(B1657)&gt;0,1649,"")</f>
        <v/>
      </c>
      <c r="G1657" s="25" t="str">
        <f t="shared" si="0"/>
        <v/>
      </c>
      <c r="N1657" s="44" t="str">
        <f>IF(COUNTA(B1657)&gt;0,C5,"")</f>
        <v/>
      </c>
      <c r="AO1657" t="str">
        <f t="shared" si="26"/>
        <v/>
      </c>
    </row>
    <row r="1658" spans="1:41" x14ac:dyDescent="0.2">
      <c r="A1658" s="44" t="str">
        <f>IF(COUNTA(B1658)&gt;0,1650,"")</f>
        <v/>
      </c>
      <c r="G1658" s="25" t="str">
        <f t="shared" si="0"/>
        <v/>
      </c>
      <c r="N1658" s="44" t="str">
        <f>IF(COUNTA(B1658)&gt;0,C5,"")</f>
        <v/>
      </c>
      <c r="AO1658" t="str">
        <f t="shared" si="26"/>
        <v/>
      </c>
    </row>
    <row r="1659" spans="1:41" x14ac:dyDescent="0.2">
      <c r="A1659" s="44" t="str">
        <f>IF(COUNTA(B1659)&gt;0,1651,"")</f>
        <v/>
      </c>
      <c r="G1659" s="25" t="str">
        <f t="shared" si="0"/>
        <v/>
      </c>
      <c r="N1659" s="44" t="str">
        <f>IF(COUNTA(B1659)&gt;0,C5,"")</f>
        <v/>
      </c>
      <c r="AO1659" t="str">
        <f t="shared" si="26"/>
        <v/>
      </c>
    </row>
    <row r="1660" spans="1:41" x14ac:dyDescent="0.2">
      <c r="A1660" s="44" t="str">
        <f>IF(COUNTA(B1660)&gt;0,1652,"")</f>
        <v/>
      </c>
      <c r="G1660" s="25" t="str">
        <f t="shared" si="0"/>
        <v/>
      </c>
      <c r="N1660" s="44" t="str">
        <f>IF(COUNTA(B1660)&gt;0,C5,"")</f>
        <v/>
      </c>
      <c r="AO1660" t="str">
        <f t="shared" si="26"/>
        <v/>
      </c>
    </row>
    <row r="1661" spans="1:41" x14ac:dyDescent="0.2">
      <c r="A1661" s="44" t="str">
        <f>IF(COUNTA(B1661)&gt;0,1653,"")</f>
        <v/>
      </c>
      <c r="G1661" s="25" t="str">
        <f t="shared" si="0"/>
        <v/>
      </c>
      <c r="N1661" s="44" t="str">
        <f>IF(COUNTA(B1661)&gt;0,C5,"")</f>
        <v/>
      </c>
      <c r="AO1661" t="str">
        <f t="shared" si="26"/>
        <v/>
      </c>
    </row>
    <row r="1662" spans="1:41" x14ac:dyDescent="0.2">
      <c r="A1662" s="44" t="str">
        <f>IF(COUNTA(B1662)&gt;0,1654,"")</f>
        <v/>
      </c>
      <c r="G1662" s="25" t="str">
        <f t="shared" si="0"/>
        <v/>
      </c>
      <c r="N1662" s="44" t="str">
        <f>IF(COUNTA(B1662)&gt;0,C5,"")</f>
        <v/>
      </c>
      <c r="AO1662" t="str">
        <f t="shared" si="26"/>
        <v/>
      </c>
    </row>
    <row r="1663" spans="1:41" x14ac:dyDescent="0.2">
      <c r="A1663" s="44" t="str">
        <f>IF(COUNTA(B1663)&gt;0,1655,"")</f>
        <v/>
      </c>
      <c r="G1663" s="25" t="str">
        <f t="shared" si="0"/>
        <v/>
      </c>
      <c r="N1663" s="44" t="str">
        <f>IF(COUNTA(B1663)&gt;0,C5,"")</f>
        <v/>
      </c>
      <c r="AO1663" t="str">
        <f t="shared" si="26"/>
        <v/>
      </c>
    </row>
    <row r="1664" spans="1:41" x14ac:dyDescent="0.2">
      <c r="A1664" s="44" t="str">
        <f>IF(COUNTA(B1664)&gt;0,1656,"")</f>
        <v/>
      </c>
      <c r="G1664" s="25" t="str">
        <f t="shared" si="0"/>
        <v/>
      </c>
      <c r="N1664" s="44" t="str">
        <f>IF(COUNTA(B1664)&gt;0,C5,"")</f>
        <v/>
      </c>
      <c r="AO1664" t="str">
        <f t="shared" si="26"/>
        <v/>
      </c>
    </row>
    <row r="1665" spans="1:41" x14ac:dyDescent="0.2">
      <c r="A1665" s="44" t="str">
        <f>IF(COUNTA(B1665)&gt;0,1657,"")</f>
        <v/>
      </c>
      <c r="G1665" s="25" t="str">
        <f t="shared" si="0"/>
        <v/>
      </c>
      <c r="N1665" s="44" t="str">
        <f>IF(COUNTA(B1665)&gt;0,C5,"")</f>
        <v/>
      </c>
      <c r="AO1665" t="str">
        <f t="shared" si="26"/>
        <v/>
      </c>
    </row>
    <row r="1666" spans="1:41" x14ac:dyDescent="0.2">
      <c r="A1666" s="44" t="str">
        <f>IF(COUNTA(B1666)&gt;0,1658,"")</f>
        <v/>
      </c>
      <c r="G1666" s="25" t="str">
        <f t="shared" si="0"/>
        <v/>
      </c>
      <c r="N1666" s="44" t="str">
        <f>IF(COUNTA(B1666)&gt;0,C5,"")</f>
        <v/>
      </c>
      <c r="AO1666" t="str">
        <f t="shared" si="26"/>
        <v/>
      </c>
    </row>
    <row r="1667" spans="1:41" x14ac:dyDescent="0.2">
      <c r="A1667" s="44" t="str">
        <f>IF(COUNTA(B1667)&gt;0,1659,"")</f>
        <v/>
      </c>
      <c r="G1667" s="25" t="str">
        <f t="shared" si="0"/>
        <v/>
      </c>
      <c r="N1667" s="44" t="str">
        <f>IF(COUNTA(B1667)&gt;0,C5,"")</f>
        <v/>
      </c>
      <c r="AO1667" t="str">
        <f t="shared" si="26"/>
        <v/>
      </c>
    </row>
    <row r="1668" spans="1:41" x14ac:dyDescent="0.2">
      <c r="A1668" s="44" t="str">
        <f>IF(COUNTA(B1668)&gt;0,1660,"")</f>
        <v/>
      </c>
      <c r="G1668" s="25" t="str">
        <f t="shared" si="0"/>
        <v/>
      </c>
      <c r="N1668" s="44" t="str">
        <f>IF(COUNTA(B1668)&gt;0,C5,"")</f>
        <v/>
      </c>
      <c r="AO1668" t="str">
        <f t="shared" si="26"/>
        <v/>
      </c>
    </row>
    <row r="1669" spans="1:41" x14ac:dyDescent="0.2">
      <c r="A1669" s="44" t="str">
        <f>IF(COUNTA(B1669)&gt;0,1661,"")</f>
        <v/>
      </c>
      <c r="G1669" s="25" t="str">
        <f t="shared" si="0"/>
        <v/>
      </c>
      <c r="N1669" s="44" t="str">
        <f>IF(COUNTA(B1669)&gt;0,C5,"")</f>
        <v/>
      </c>
      <c r="AO1669" t="str">
        <f t="shared" si="26"/>
        <v/>
      </c>
    </row>
    <row r="1670" spans="1:41" x14ac:dyDescent="0.2">
      <c r="A1670" s="44" t="str">
        <f>IF(COUNTA(B1670)&gt;0,1662,"")</f>
        <v/>
      </c>
      <c r="G1670" s="25" t="str">
        <f t="shared" si="0"/>
        <v/>
      </c>
      <c r="N1670" s="44" t="str">
        <f>IF(COUNTA(B1670)&gt;0,C5,"")</f>
        <v/>
      </c>
      <c r="AO1670" t="str">
        <f t="shared" si="26"/>
        <v/>
      </c>
    </row>
    <row r="1671" spans="1:41" x14ac:dyDescent="0.2">
      <c r="A1671" s="44" t="str">
        <f>IF(COUNTA(B1671)&gt;0,1663,"")</f>
        <v/>
      </c>
      <c r="G1671" s="25" t="str">
        <f t="shared" si="0"/>
        <v/>
      </c>
      <c r="N1671" s="44" t="str">
        <f>IF(COUNTA(B1671)&gt;0,C5,"")</f>
        <v/>
      </c>
      <c r="AO1671" t="str">
        <f t="shared" si="26"/>
        <v/>
      </c>
    </row>
    <row r="1672" spans="1:41" x14ac:dyDescent="0.2">
      <c r="A1672" s="44" t="str">
        <f>IF(COUNTA(B1672)&gt;0,1664,"")</f>
        <v/>
      </c>
      <c r="G1672" s="25" t="str">
        <f t="shared" si="0"/>
        <v/>
      </c>
      <c r="N1672" s="44" t="str">
        <f>IF(COUNTA(B1672)&gt;0,C5,"")</f>
        <v/>
      </c>
      <c r="AO1672" t="str">
        <f t="shared" si="26"/>
        <v/>
      </c>
    </row>
    <row r="1673" spans="1:41" x14ac:dyDescent="0.2">
      <c r="A1673" s="44" t="str">
        <f>IF(COUNTA(B1673)&gt;0,1665,"")</f>
        <v/>
      </c>
      <c r="G1673" s="25" t="str">
        <f t="shared" si="0"/>
        <v/>
      </c>
      <c r="N1673" s="44" t="str">
        <f>IF(COUNTA(B1673)&gt;0,C5,"")</f>
        <v/>
      </c>
      <c r="AO1673" t="str">
        <f t="shared" ref="AO1673:AO1736" si="27">IF(COUNTA(L1673:M1673)&lt;&gt;0,"Có",IF(COUNTA(B1673)&gt;0,"Không",""))</f>
        <v/>
      </c>
    </row>
    <row r="1674" spans="1:41" x14ac:dyDescent="0.2">
      <c r="A1674" s="44" t="str">
        <f>IF(COUNTA(B1674)&gt;0,1666,"")</f>
        <v/>
      </c>
      <c r="G1674" s="25" t="str">
        <f t="shared" si="0"/>
        <v/>
      </c>
      <c r="N1674" s="44" t="str">
        <f>IF(COUNTA(B1674)&gt;0,C5,"")</f>
        <v/>
      </c>
      <c r="AO1674" t="str">
        <f t="shared" si="27"/>
        <v/>
      </c>
    </row>
    <row r="1675" spans="1:41" x14ac:dyDescent="0.2">
      <c r="A1675" s="44" t="str">
        <f>IF(COUNTA(B1675)&gt;0,1667,"")</f>
        <v/>
      </c>
      <c r="G1675" s="25" t="str">
        <f t="shared" si="0"/>
        <v/>
      </c>
      <c r="N1675" s="44" t="str">
        <f>IF(COUNTA(B1675)&gt;0,C5,"")</f>
        <v/>
      </c>
      <c r="AO1675" t="str">
        <f t="shared" si="27"/>
        <v/>
      </c>
    </row>
    <row r="1676" spans="1:41" x14ac:dyDescent="0.2">
      <c r="A1676" s="44" t="str">
        <f>IF(COUNTA(B1676)&gt;0,1668,"")</f>
        <v/>
      </c>
      <c r="G1676" s="25" t="str">
        <f t="shared" si="0"/>
        <v/>
      </c>
      <c r="N1676" s="44" t="str">
        <f>IF(COUNTA(B1676)&gt;0,C5,"")</f>
        <v/>
      </c>
      <c r="AO1676" t="str">
        <f t="shared" si="27"/>
        <v/>
      </c>
    </row>
    <row r="1677" spans="1:41" x14ac:dyDescent="0.2">
      <c r="A1677" s="44" t="str">
        <f>IF(COUNTA(B1677)&gt;0,1669,"")</f>
        <v/>
      </c>
      <c r="G1677" s="25" t="str">
        <f t="shared" si="0"/>
        <v/>
      </c>
      <c r="N1677" s="44" t="str">
        <f>IF(COUNTA(B1677)&gt;0,C5,"")</f>
        <v/>
      </c>
      <c r="AO1677" t="str">
        <f t="shared" si="27"/>
        <v/>
      </c>
    </row>
    <row r="1678" spans="1:41" x14ac:dyDescent="0.2">
      <c r="A1678" s="44" t="str">
        <f>IF(COUNTA(B1678)&gt;0,1670,"")</f>
        <v/>
      </c>
      <c r="G1678" s="25" t="str">
        <f t="shared" si="0"/>
        <v/>
      </c>
      <c r="N1678" s="44" t="str">
        <f>IF(COUNTA(B1678)&gt;0,C5,"")</f>
        <v/>
      </c>
      <c r="AO1678" t="str">
        <f t="shared" si="27"/>
        <v/>
      </c>
    </row>
    <row r="1679" spans="1:41" x14ac:dyDescent="0.2">
      <c r="A1679" s="44" t="str">
        <f>IF(COUNTA(B1679)&gt;0,1671,"")</f>
        <v/>
      </c>
      <c r="G1679" s="25" t="str">
        <f t="shared" si="0"/>
        <v/>
      </c>
      <c r="N1679" s="44" t="str">
        <f>IF(COUNTA(B1679)&gt;0,C5,"")</f>
        <v/>
      </c>
      <c r="AO1679" t="str">
        <f t="shared" si="27"/>
        <v/>
      </c>
    </row>
    <row r="1680" spans="1:41" x14ac:dyDescent="0.2">
      <c r="A1680" s="44" t="str">
        <f>IF(COUNTA(B1680)&gt;0,1672,"")</f>
        <v/>
      </c>
      <c r="G1680" s="25" t="str">
        <f t="shared" si="0"/>
        <v/>
      </c>
      <c r="N1680" s="44" t="str">
        <f>IF(COUNTA(B1680)&gt;0,C5,"")</f>
        <v/>
      </c>
      <c r="AO1680" t="str">
        <f t="shared" si="27"/>
        <v/>
      </c>
    </row>
    <row r="1681" spans="1:41" x14ac:dyDescent="0.2">
      <c r="A1681" s="44" t="str">
        <f>IF(COUNTA(B1681)&gt;0,1673,"")</f>
        <v/>
      </c>
      <c r="G1681" s="25" t="str">
        <f t="shared" si="0"/>
        <v/>
      </c>
      <c r="N1681" s="44" t="str">
        <f>IF(COUNTA(B1681)&gt;0,C5,"")</f>
        <v/>
      </c>
      <c r="AO1681" t="str">
        <f t="shared" si="27"/>
        <v/>
      </c>
    </row>
    <row r="1682" spans="1:41" x14ac:dyDescent="0.2">
      <c r="A1682" s="44" t="str">
        <f>IF(COUNTA(B1682)&gt;0,1674,"")</f>
        <v/>
      </c>
      <c r="G1682" s="25" t="str">
        <f t="shared" si="0"/>
        <v/>
      </c>
      <c r="N1682" s="44" t="str">
        <f>IF(COUNTA(B1682)&gt;0,C5,"")</f>
        <v/>
      </c>
      <c r="AO1682" t="str">
        <f t="shared" si="27"/>
        <v/>
      </c>
    </row>
    <row r="1683" spans="1:41" x14ac:dyDescent="0.2">
      <c r="A1683" s="44" t="str">
        <f>IF(COUNTA(B1683)&gt;0,1675,"")</f>
        <v/>
      </c>
      <c r="G1683" s="25" t="str">
        <f t="shared" si="0"/>
        <v/>
      </c>
      <c r="N1683" s="44" t="str">
        <f>IF(COUNTA(B1683)&gt;0,C5,"")</f>
        <v/>
      </c>
      <c r="AO1683" t="str">
        <f t="shared" si="27"/>
        <v/>
      </c>
    </row>
    <row r="1684" spans="1:41" x14ac:dyDescent="0.2">
      <c r="A1684" s="44" t="str">
        <f>IF(COUNTA(B1684)&gt;0,1676,"")</f>
        <v/>
      </c>
      <c r="G1684" s="25" t="str">
        <f t="shared" si="0"/>
        <v/>
      </c>
      <c r="N1684" s="44" t="str">
        <f>IF(COUNTA(B1684)&gt;0,C5,"")</f>
        <v/>
      </c>
      <c r="AO1684" t="str">
        <f t="shared" si="27"/>
        <v/>
      </c>
    </row>
    <row r="1685" spans="1:41" x14ac:dyDescent="0.2">
      <c r="A1685" s="44" t="str">
        <f>IF(COUNTA(B1685)&gt;0,1677,"")</f>
        <v/>
      </c>
      <c r="G1685" s="25" t="str">
        <f t="shared" si="0"/>
        <v/>
      </c>
      <c r="N1685" s="44" t="str">
        <f>IF(COUNTA(B1685)&gt;0,C5,"")</f>
        <v/>
      </c>
      <c r="AO1685" t="str">
        <f t="shared" si="27"/>
        <v/>
      </c>
    </row>
    <row r="1686" spans="1:41" x14ac:dyDescent="0.2">
      <c r="A1686" s="44" t="str">
        <f>IF(COUNTA(B1686)&gt;0,1678,"")</f>
        <v/>
      </c>
      <c r="G1686" s="25" t="str">
        <f t="shared" si="0"/>
        <v/>
      </c>
      <c r="N1686" s="44" t="str">
        <f>IF(COUNTA(B1686)&gt;0,C5,"")</f>
        <v/>
      </c>
      <c r="AO1686" t="str">
        <f t="shared" si="27"/>
        <v/>
      </c>
    </row>
    <row r="1687" spans="1:41" x14ac:dyDescent="0.2">
      <c r="A1687" s="44" t="str">
        <f>IF(COUNTA(B1687)&gt;0,1679,"")</f>
        <v/>
      </c>
      <c r="G1687" s="25" t="str">
        <f t="shared" si="0"/>
        <v/>
      </c>
      <c r="N1687" s="44" t="str">
        <f>IF(COUNTA(B1687)&gt;0,C5,"")</f>
        <v/>
      </c>
      <c r="AO1687" t="str">
        <f t="shared" si="27"/>
        <v/>
      </c>
    </row>
    <row r="1688" spans="1:41" x14ac:dyDescent="0.2">
      <c r="A1688" s="44" t="str">
        <f>IF(COUNTA(B1688)&gt;0,1680,"")</f>
        <v/>
      </c>
      <c r="G1688" s="25" t="str">
        <f t="shared" si="0"/>
        <v/>
      </c>
      <c r="N1688" s="44" t="str">
        <f>IF(COUNTA(B1688)&gt;0,C5,"")</f>
        <v/>
      </c>
      <c r="AO1688" t="str">
        <f t="shared" si="27"/>
        <v/>
      </c>
    </row>
    <row r="1689" spans="1:41" x14ac:dyDescent="0.2">
      <c r="A1689" s="44" t="str">
        <f>IF(COUNTA(B1689)&gt;0,1681,"")</f>
        <v/>
      </c>
      <c r="G1689" s="25" t="str">
        <f t="shared" si="0"/>
        <v/>
      </c>
      <c r="N1689" s="44" t="str">
        <f>IF(COUNTA(B1689)&gt;0,C5,"")</f>
        <v/>
      </c>
      <c r="AO1689" t="str">
        <f t="shared" si="27"/>
        <v/>
      </c>
    </row>
    <row r="1690" spans="1:41" x14ac:dyDescent="0.2">
      <c r="A1690" s="44" t="str">
        <f>IF(COUNTA(B1690)&gt;0,1682,"")</f>
        <v/>
      </c>
      <c r="G1690" s="25" t="str">
        <f t="shared" si="0"/>
        <v/>
      </c>
      <c r="N1690" s="44" t="str">
        <f>IF(COUNTA(B1690)&gt;0,C5,"")</f>
        <v/>
      </c>
      <c r="AO1690" t="str">
        <f t="shared" si="27"/>
        <v/>
      </c>
    </row>
    <row r="1691" spans="1:41" x14ac:dyDescent="0.2">
      <c r="A1691" s="44" t="str">
        <f>IF(COUNTA(B1691)&gt;0,1683,"")</f>
        <v/>
      </c>
      <c r="G1691" s="25" t="str">
        <f t="shared" si="0"/>
        <v/>
      </c>
      <c r="N1691" s="44" t="str">
        <f>IF(COUNTA(B1691)&gt;0,C5,"")</f>
        <v/>
      </c>
      <c r="AO1691" t="str">
        <f t="shared" si="27"/>
        <v/>
      </c>
    </row>
    <row r="1692" spans="1:41" x14ac:dyDescent="0.2">
      <c r="A1692" s="44" t="str">
        <f>IF(COUNTA(B1692)&gt;0,1684,"")</f>
        <v/>
      </c>
      <c r="G1692" s="25" t="str">
        <f t="shared" si="0"/>
        <v/>
      </c>
      <c r="N1692" s="44" t="str">
        <f>IF(COUNTA(B1692)&gt;0,C5,"")</f>
        <v/>
      </c>
      <c r="AO1692" t="str">
        <f t="shared" si="27"/>
        <v/>
      </c>
    </row>
    <row r="1693" spans="1:41" x14ac:dyDescent="0.2">
      <c r="A1693" s="44" t="str">
        <f>IF(COUNTA(B1693)&gt;0,1685,"")</f>
        <v/>
      </c>
      <c r="G1693" s="25" t="str">
        <f t="shared" si="0"/>
        <v/>
      </c>
      <c r="N1693" s="44" t="str">
        <f>IF(COUNTA(B1693)&gt;0,C5,"")</f>
        <v/>
      </c>
      <c r="AO1693" t="str">
        <f t="shared" si="27"/>
        <v/>
      </c>
    </row>
    <row r="1694" spans="1:41" x14ac:dyDescent="0.2">
      <c r="A1694" s="44" t="str">
        <f>IF(COUNTA(B1694)&gt;0,1686,"")</f>
        <v/>
      </c>
      <c r="G1694" s="25" t="str">
        <f t="shared" si="0"/>
        <v/>
      </c>
      <c r="N1694" s="44" t="str">
        <f>IF(COUNTA(B1694)&gt;0,C5,"")</f>
        <v/>
      </c>
      <c r="AO1694" t="str">
        <f t="shared" si="27"/>
        <v/>
      </c>
    </row>
    <row r="1695" spans="1:41" x14ac:dyDescent="0.2">
      <c r="A1695" s="44" t="str">
        <f>IF(COUNTA(B1695)&gt;0,1687,"")</f>
        <v/>
      </c>
      <c r="G1695" s="25" t="str">
        <f t="shared" si="0"/>
        <v/>
      </c>
      <c r="N1695" s="44" t="str">
        <f>IF(COUNTA(B1695)&gt;0,C5,"")</f>
        <v/>
      </c>
      <c r="AO1695" t="str">
        <f t="shared" si="27"/>
        <v/>
      </c>
    </row>
    <row r="1696" spans="1:41" x14ac:dyDescent="0.2">
      <c r="A1696" s="44" t="str">
        <f>IF(COUNTA(B1696)&gt;0,1688,"")</f>
        <v/>
      </c>
      <c r="G1696" s="25" t="str">
        <f t="shared" si="0"/>
        <v/>
      </c>
      <c r="N1696" s="44" t="str">
        <f>IF(COUNTA(B1696)&gt;0,C5,"")</f>
        <v/>
      </c>
      <c r="AO1696" t="str">
        <f t="shared" si="27"/>
        <v/>
      </c>
    </row>
    <row r="1697" spans="1:41" x14ac:dyDescent="0.2">
      <c r="A1697" s="44" t="str">
        <f>IF(COUNTA(B1697)&gt;0,1689,"")</f>
        <v/>
      </c>
      <c r="G1697" s="25" t="str">
        <f t="shared" si="0"/>
        <v/>
      </c>
      <c r="N1697" s="44" t="str">
        <f>IF(COUNTA(B1697)&gt;0,C5,"")</f>
        <v/>
      </c>
      <c r="AO1697" t="str">
        <f t="shared" si="27"/>
        <v/>
      </c>
    </row>
    <row r="1698" spans="1:41" x14ac:dyDescent="0.2">
      <c r="A1698" s="44" t="str">
        <f>IF(COUNTA(B1698)&gt;0,1690,"")</f>
        <v/>
      </c>
      <c r="G1698" s="25" t="str">
        <f t="shared" si="0"/>
        <v/>
      </c>
      <c r="N1698" s="44" t="str">
        <f>IF(COUNTA(B1698)&gt;0,C5,"")</f>
        <v/>
      </c>
      <c r="AO1698" t="str">
        <f t="shared" si="27"/>
        <v/>
      </c>
    </row>
    <row r="1699" spans="1:41" x14ac:dyDescent="0.2">
      <c r="A1699" s="44" t="str">
        <f>IF(COUNTA(B1699)&gt;0,1691,"")</f>
        <v/>
      </c>
      <c r="G1699" s="25" t="str">
        <f t="shared" si="0"/>
        <v/>
      </c>
      <c r="N1699" s="44" t="str">
        <f>IF(COUNTA(B1699)&gt;0,C5,"")</f>
        <v/>
      </c>
      <c r="AO1699" t="str">
        <f t="shared" si="27"/>
        <v/>
      </c>
    </row>
    <row r="1700" spans="1:41" x14ac:dyDescent="0.2">
      <c r="A1700" s="44" t="str">
        <f>IF(COUNTA(B1700)&gt;0,1692,"")</f>
        <v/>
      </c>
      <c r="G1700" s="25" t="str">
        <f t="shared" si="0"/>
        <v/>
      </c>
      <c r="N1700" s="44" t="str">
        <f>IF(COUNTA(B1700)&gt;0,C5,"")</f>
        <v/>
      </c>
      <c r="AO1700" t="str">
        <f t="shared" si="27"/>
        <v/>
      </c>
    </row>
    <row r="1701" spans="1:41" x14ac:dyDescent="0.2">
      <c r="A1701" s="44" t="str">
        <f>IF(COUNTA(B1701)&gt;0,1693,"")</f>
        <v/>
      </c>
      <c r="G1701" s="25" t="str">
        <f t="shared" si="0"/>
        <v/>
      </c>
      <c r="N1701" s="44" t="str">
        <f>IF(COUNTA(B1701)&gt;0,C5,"")</f>
        <v/>
      </c>
      <c r="AO1701" t="str">
        <f t="shared" si="27"/>
        <v/>
      </c>
    </row>
    <row r="1702" spans="1:41" x14ac:dyDescent="0.2">
      <c r="A1702" s="44" t="str">
        <f>IF(COUNTA(B1702)&gt;0,1694,"")</f>
        <v/>
      </c>
      <c r="G1702" s="25" t="str">
        <f t="shared" si="0"/>
        <v/>
      </c>
      <c r="N1702" s="44" t="str">
        <f>IF(COUNTA(B1702)&gt;0,C5,"")</f>
        <v/>
      </c>
      <c r="AO1702" t="str">
        <f t="shared" si="27"/>
        <v/>
      </c>
    </row>
    <row r="1703" spans="1:41" x14ac:dyDescent="0.2">
      <c r="A1703" s="44" t="str">
        <f>IF(COUNTA(B1703)&gt;0,1695,"")</f>
        <v/>
      </c>
      <c r="G1703" s="25" t="str">
        <f t="shared" si="0"/>
        <v/>
      </c>
      <c r="N1703" s="44" t="str">
        <f>IF(COUNTA(B1703)&gt;0,C5,"")</f>
        <v/>
      </c>
      <c r="AO1703" t="str">
        <f t="shared" si="27"/>
        <v/>
      </c>
    </row>
    <row r="1704" spans="1:41" x14ac:dyDescent="0.2">
      <c r="A1704" s="44" t="str">
        <f>IF(COUNTA(B1704)&gt;0,1696,"")</f>
        <v/>
      </c>
      <c r="G1704" s="25" t="str">
        <f t="shared" si="0"/>
        <v/>
      </c>
      <c r="N1704" s="44" t="str">
        <f>IF(COUNTA(B1704)&gt;0,C5,"")</f>
        <v/>
      </c>
      <c r="AO1704" t="str">
        <f t="shared" si="27"/>
        <v/>
      </c>
    </row>
    <row r="1705" spans="1:41" x14ac:dyDescent="0.2">
      <c r="A1705" s="44" t="str">
        <f>IF(COUNTA(B1705)&gt;0,1697,"")</f>
        <v/>
      </c>
      <c r="G1705" s="25" t="str">
        <f t="shared" si="0"/>
        <v/>
      </c>
      <c r="N1705" s="44" t="str">
        <f>IF(COUNTA(B1705)&gt;0,C5,"")</f>
        <v/>
      </c>
      <c r="AO1705" t="str">
        <f t="shared" si="27"/>
        <v/>
      </c>
    </row>
    <row r="1706" spans="1:41" x14ac:dyDescent="0.2">
      <c r="A1706" s="44" t="str">
        <f>IF(COUNTA(B1706)&gt;0,1698,"")</f>
        <v/>
      </c>
      <c r="G1706" s="25" t="str">
        <f t="shared" si="0"/>
        <v/>
      </c>
      <c r="N1706" s="44" t="str">
        <f>IF(COUNTA(B1706)&gt;0,C5,"")</f>
        <v/>
      </c>
      <c r="AO1706" t="str">
        <f t="shared" si="27"/>
        <v/>
      </c>
    </row>
    <row r="1707" spans="1:41" x14ac:dyDescent="0.2">
      <c r="A1707" s="44" t="str">
        <f>IF(COUNTA(B1707)&gt;0,1699,"")</f>
        <v/>
      </c>
      <c r="G1707" s="25" t="str">
        <f t="shared" si="0"/>
        <v/>
      </c>
      <c r="N1707" s="44" t="str">
        <f>IF(COUNTA(B1707)&gt;0,C5,"")</f>
        <v/>
      </c>
      <c r="AO1707" t="str">
        <f t="shared" si="27"/>
        <v/>
      </c>
    </row>
    <row r="1708" spans="1:41" x14ac:dyDescent="0.2">
      <c r="A1708" s="44" t="str">
        <f>IF(COUNTA(B1708)&gt;0,1700,"")</f>
        <v/>
      </c>
      <c r="G1708" s="25" t="str">
        <f t="shared" si="0"/>
        <v/>
      </c>
      <c r="N1708" s="44" t="str">
        <f>IF(COUNTA(B1708)&gt;0,C5,"")</f>
        <v/>
      </c>
      <c r="AO1708" t="str">
        <f t="shared" si="27"/>
        <v/>
      </c>
    </row>
    <row r="1709" spans="1:41" x14ac:dyDescent="0.2">
      <c r="A1709" s="44" t="str">
        <f>IF(COUNTA(B1709)&gt;0,1701,"")</f>
        <v/>
      </c>
      <c r="G1709" s="25" t="str">
        <f t="shared" si="0"/>
        <v/>
      </c>
      <c r="N1709" s="44" t="str">
        <f>IF(COUNTA(B1709)&gt;0,C5,"")</f>
        <v/>
      </c>
      <c r="AO1709" t="str">
        <f t="shared" si="27"/>
        <v/>
      </c>
    </row>
    <row r="1710" spans="1:41" x14ac:dyDescent="0.2">
      <c r="A1710" s="44" t="str">
        <f>IF(COUNTA(B1710)&gt;0,1702,"")</f>
        <v/>
      </c>
      <c r="G1710" s="25" t="str">
        <f t="shared" si="0"/>
        <v/>
      </c>
      <c r="N1710" s="44" t="str">
        <f>IF(COUNTA(B1710)&gt;0,C5,"")</f>
        <v/>
      </c>
      <c r="AO1710" t="str">
        <f t="shared" si="27"/>
        <v/>
      </c>
    </row>
    <row r="1711" spans="1:41" x14ac:dyDescent="0.2">
      <c r="A1711" s="44" t="str">
        <f>IF(COUNTA(B1711)&gt;0,1703,"")</f>
        <v/>
      </c>
      <c r="G1711" s="25" t="str">
        <f t="shared" si="0"/>
        <v/>
      </c>
      <c r="N1711" s="44" t="str">
        <f>IF(COUNTA(B1711)&gt;0,C5,"")</f>
        <v/>
      </c>
      <c r="AO1711" t="str">
        <f t="shared" si="27"/>
        <v/>
      </c>
    </row>
    <row r="1712" spans="1:41" x14ac:dyDescent="0.2">
      <c r="A1712" s="44" t="str">
        <f>IF(COUNTA(B1712)&gt;0,1704,"")</f>
        <v/>
      </c>
      <c r="G1712" s="25" t="str">
        <f t="shared" si="0"/>
        <v/>
      </c>
      <c r="N1712" s="44" t="str">
        <f>IF(COUNTA(B1712)&gt;0,C5,"")</f>
        <v/>
      </c>
      <c r="AO1712" t="str">
        <f t="shared" si="27"/>
        <v/>
      </c>
    </row>
    <row r="1713" spans="1:41" x14ac:dyDescent="0.2">
      <c r="A1713" s="44" t="str">
        <f>IF(COUNTA(B1713)&gt;0,1705,"")</f>
        <v/>
      </c>
      <c r="G1713" s="25" t="str">
        <f t="shared" si="0"/>
        <v/>
      </c>
      <c r="N1713" s="44" t="str">
        <f>IF(COUNTA(B1713)&gt;0,C5,"")</f>
        <v/>
      </c>
      <c r="AO1713" t="str">
        <f t="shared" si="27"/>
        <v/>
      </c>
    </row>
    <row r="1714" spans="1:41" x14ac:dyDescent="0.2">
      <c r="A1714" s="44" t="str">
        <f>IF(COUNTA(B1714)&gt;0,1706,"")</f>
        <v/>
      </c>
      <c r="G1714" s="25" t="str">
        <f t="shared" si="0"/>
        <v/>
      </c>
      <c r="N1714" s="44" t="str">
        <f>IF(COUNTA(B1714)&gt;0,C5,"")</f>
        <v/>
      </c>
      <c r="AO1714" t="str">
        <f t="shared" si="27"/>
        <v/>
      </c>
    </row>
    <row r="1715" spans="1:41" x14ac:dyDescent="0.2">
      <c r="A1715" s="44" t="str">
        <f>IF(COUNTA(B1715)&gt;0,1707,"")</f>
        <v/>
      </c>
      <c r="G1715" s="25" t="str">
        <f t="shared" si="0"/>
        <v/>
      </c>
      <c r="N1715" s="44" t="str">
        <f>IF(COUNTA(B1715)&gt;0,C5,"")</f>
        <v/>
      </c>
      <c r="AO1715" t="str">
        <f t="shared" si="27"/>
        <v/>
      </c>
    </row>
    <row r="1716" spans="1:41" x14ac:dyDescent="0.2">
      <c r="A1716" s="44" t="str">
        <f>IF(COUNTA(B1716)&gt;0,1708,"")</f>
        <v/>
      </c>
      <c r="G1716" s="25" t="str">
        <f t="shared" si="0"/>
        <v/>
      </c>
      <c r="N1716" s="44" t="str">
        <f>IF(COUNTA(B1716)&gt;0,C5,"")</f>
        <v/>
      </c>
      <c r="AO1716" t="str">
        <f t="shared" si="27"/>
        <v/>
      </c>
    </row>
    <row r="1717" spans="1:41" x14ac:dyDescent="0.2">
      <c r="A1717" s="44" t="str">
        <f>IF(COUNTA(B1717)&gt;0,1709,"")</f>
        <v/>
      </c>
      <c r="G1717" s="25" t="str">
        <f t="shared" si="0"/>
        <v/>
      </c>
      <c r="N1717" s="44" t="str">
        <f>IF(COUNTA(B1717)&gt;0,C5,"")</f>
        <v/>
      </c>
      <c r="AO1717" t="str">
        <f t="shared" si="27"/>
        <v/>
      </c>
    </row>
    <row r="1718" spans="1:41" x14ac:dyDescent="0.2">
      <c r="A1718" s="44" t="str">
        <f>IF(COUNTA(B1718)&gt;0,1710,"")</f>
        <v/>
      </c>
      <c r="G1718" s="25" t="str">
        <f t="shared" si="0"/>
        <v/>
      </c>
      <c r="N1718" s="44" t="str">
        <f>IF(COUNTA(B1718)&gt;0,C5,"")</f>
        <v/>
      </c>
      <c r="AO1718" t="str">
        <f t="shared" si="27"/>
        <v/>
      </c>
    </row>
    <row r="1719" spans="1:41" x14ac:dyDescent="0.2">
      <c r="A1719" s="44" t="str">
        <f>IF(COUNTA(B1719)&gt;0,1711,"")</f>
        <v/>
      </c>
      <c r="G1719" s="25" t="str">
        <f t="shared" si="0"/>
        <v/>
      </c>
      <c r="N1719" s="44" t="str">
        <f>IF(COUNTA(B1719)&gt;0,C5,"")</f>
        <v/>
      </c>
      <c r="AO1719" t="str">
        <f t="shared" si="27"/>
        <v/>
      </c>
    </row>
    <row r="1720" spans="1:41" x14ac:dyDescent="0.2">
      <c r="A1720" s="44" t="str">
        <f>IF(COUNTA(B1720)&gt;0,1712,"")</f>
        <v/>
      </c>
      <c r="G1720" s="25" t="str">
        <f t="shared" si="0"/>
        <v/>
      </c>
      <c r="N1720" s="44" t="str">
        <f>IF(COUNTA(B1720)&gt;0,C5,"")</f>
        <v/>
      </c>
      <c r="AO1720" t="str">
        <f t="shared" si="27"/>
        <v/>
      </c>
    </row>
    <row r="1721" spans="1:41" x14ac:dyDescent="0.2">
      <c r="A1721" s="44" t="str">
        <f>IF(COUNTA(B1721)&gt;0,1713,"")</f>
        <v/>
      </c>
      <c r="G1721" s="25" t="str">
        <f t="shared" si="0"/>
        <v/>
      </c>
      <c r="N1721" s="44" t="str">
        <f>IF(COUNTA(B1721)&gt;0,C5,"")</f>
        <v/>
      </c>
      <c r="AO1721" t="str">
        <f t="shared" si="27"/>
        <v/>
      </c>
    </row>
    <row r="1722" spans="1:41" x14ac:dyDescent="0.2">
      <c r="A1722" s="44" t="str">
        <f>IF(COUNTA(B1722)&gt;0,1714,"")</f>
        <v/>
      </c>
      <c r="G1722" s="25" t="str">
        <f t="shared" si="0"/>
        <v/>
      </c>
      <c r="N1722" s="44" t="str">
        <f>IF(COUNTA(B1722)&gt;0,C5,"")</f>
        <v/>
      </c>
      <c r="AO1722" t="str">
        <f t="shared" si="27"/>
        <v/>
      </c>
    </row>
    <row r="1723" spans="1:41" x14ac:dyDescent="0.2">
      <c r="A1723" s="44" t="str">
        <f>IF(COUNTA(B1723)&gt;0,1715,"")</f>
        <v/>
      </c>
      <c r="G1723" s="25" t="str">
        <f t="shared" si="0"/>
        <v/>
      </c>
      <c r="N1723" s="44" t="str">
        <f>IF(COUNTA(B1723)&gt;0,C5,"")</f>
        <v/>
      </c>
      <c r="AO1723" t="str">
        <f t="shared" si="27"/>
        <v/>
      </c>
    </row>
    <row r="1724" spans="1:41" x14ac:dyDescent="0.2">
      <c r="A1724" s="44" t="str">
        <f>IF(COUNTA(B1724)&gt;0,1716,"")</f>
        <v/>
      </c>
      <c r="G1724" s="25" t="str">
        <f t="shared" si="0"/>
        <v/>
      </c>
      <c r="N1724" s="44" t="str">
        <f>IF(COUNTA(B1724)&gt;0,C5,"")</f>
        <v/>
      </c>
      <c r="AO1724" t="str">
        <f t="shared" si="27"/>
        <v/>
      </c>
    </row>
    <row r="1725" spans="1:41" x14ac:dyDescent="0.2">
      <c r="A1725" s="44" t="str">
        <f>IF(COUNTA(B1725)&gt;0,1717,"")</f>
        <v/>
      </c>
      <c r="G1725" s="25" t="str">
        <f t="shared" si="0"/>
        <v/>
      </c>
      <c r="N1725" s="44" t="str">
        <f>IF(COUNTA(B1725)&gt;0,C5,"")</f>
        <v/>
      </c>
      <c r="AO1725" t="str">
        <f t="shared" si="27"/>
        <v/>
      </c>
    </row>
    <row r="1726" spans="1:41" x14ac:dyDescent="0.2">
      <c r="A1726" s="44" t="str">
        <f>IF(COUNTA(B1726)&gt;0,1718,"")</f>
        <v/>
      </c>
      <c r="G1726" s="25" t="str">
        <f t="shared" si="0"/>
        <v/>
      </c>
      <c r="N1726" s="44" t="str">
        <f>IF(COUNTA(B1726)&gt;0,C5,"")</f>
        <v/>
      </c>
      <c r="AO1726" t="str">
        <f t="shared" si="27"/>
        <v/>
      </c>
    </row>
    <row r="1727" spans="1:41" x14ac:dyDescent="0.2">
      <c r="A1727" s="44" t="str">
        <f>IF(COUNTA(B1727)&gt;0,1719,"")</f>
        <v/>
      </c>
      <c r="G1727" s="25" t="str">
        <f t="shared" si="0"/>
        <v/>
      </c>
      <c r="N1727" s="44" t="str">
        <f>IF(COUNTA(B1727)&gt;0,C5,"")</f>
        <v/>
      </c>
      <c r="AO1727" t="str">
        <f t="shared" si="27"/>
        <v/>
      </c>
    </row>
    <row r="1728" spans="1:41" x14ac:dyDescent="0.2">
      <c r="A1728" s="44" t="str">
        <f>IF(COUNTA(B1728)&gt;0,1720,"")</f>
        <v/>
      </c>
      <c r="G1728" s="25" t="str">
        <f t="shared" si="0"/>
        <v/>
      </c>
      <c r="N1728" s="44" t="str">
        <f>IF(COUNTA(B1728)&gt;0,C5,"")</f>
        <v/>
      </c>
      <c r="AO1728" t="str">
        <f t="shared" si="27"/>
        <v/>
      </c>
    </row>
    <row r="1729" spans="1:41" x14ac:dyDescent="0.2">
      <c r="A1729" s="44" t="str">
        <f>IF(COUNTA(B1729)&gt;0,1721,"")</f>
        <v/>
      </c>
      <c r="G1729" s="25" t="str">
        <f t="shared" si="0"/>
        <v/>
      </c>
      <c r="N1729" s="44" t="str">
        <f>IF(COUNTA(B1729)&gt;0,C5,"")</f>
        <v/>
      </c>
      <c r="AO1729" t="str">
        <f t="shared" si="27"/>
        <v/>
      </c>
    </row>
    <row r="1730" spans="1:41" x14ac:dyDescent="0.2">
      <c r="A1730" s="44" t="str">
        <f>IF(COUNTA(B1730)&gt;0,1722,"")</f>
        <v/>
      </c>
      <c r="G1730" s="25" t="str">
        <f t="shared" si="0"/>
        <v/>
      </c>
      <c r="N1730" s="44" t="str">
        <f>IF(COUNTA(B1730)&gt;0,C5,"")</f>
        <v/>
      </c>
      <c r="AO1730" t="str">
        <f t="shared" si="27"/>
        <v/>
      </c>
    </row>
    <row r="1731" spans="1:41" x14ac:dyDescent="0.2">
      <c r="A1731" s="44" t="str">
        <f>IF(COUNTA(B1731)&gt;0,1723,"")</f>
        <v/>
      </c>
      <c r="G1731" s="25" t="str">
        <f t="shared" si="0"/>
        <v/>
      </c>
      <c r="N1731" s="44" t="str">
        <f>IF(COUNTA(B1731)&gt;0,C5,"")</f>
        <v/>
      </c>
      <c r="AO1731" t="str">
        <f t="shared" si="27"/>
        <v/>
      </c>
    </row>
    <row r="1732" spans="1:41" x14ac:dyDescent="0.2">
      <c r="A1732" s="44" t="str">
        <f>IF(COUNTA(B1732)&gt;0,1724,"")</f>
        <v/>
      </c>
      <c r="G1732" s="25" t="str">
        <f t="shared" si="0"/>
        <v/>
      </c>
      <c r="N1732" s="44" t="str">
        <f>IF(COUNTA(B1732)&gt;0,C5,"")</f>
        <v/>
      </c>
      <c r="AO1732" t="str">
        <f t="shared" si="27"/>
        <v/>
      </c>
    </row>
    <row r="1733" spans="1:41" x14ac:dyDescent="0.2">
      <c r="A1733" s="44" t="str">
        <f>IF(COUNTA(B1733)&gt;0,1725,"")</f>
        <v/>
      </c>
      <c r="G1733" s="25" t="str">
        <f t="shared" si="0"/>
        <v/>
      </c>
      <c r="N1733" s="44" t="str">
        <f>IF(COUNTA(B1733)&gt;0,C5,"")</f>
        <v/>
      </c>
      <c r="AO1733" t="str">
        <f t="shared" si="27"/>
        <v/>
      </c>
    </row>
    <row r="1734" spans="1:41" x14ac:dyDescent="0.2">
      <c r="A1734" s="44" t="str">
        <f>IF(COUNTA(B1734)&gt;0,1726,"")</f>
        <v/>
      </c>
      <c r="G1734" s="25" t="str">
        <f t="shared" si="0"/>
        <v/>
      </c>
      <c r="N1734" s="44" t="str">
        <f>IF(COUNTA(B1734)&gt;0,C5,"")</f>
        <v/>
      </c>
      <c r="AO1734" t="str">
        <f t="shared" si="27"/>
        <v/>
      </c>
    </row>
    <row r="1735" spans="1:41" x14ac:dyDescent="0.2">
      <c r="A1735" s="44" t="str">
        <f>IF(COUNTA(B1735)&gt;0,1727,"")</f>
        <v/>
      </c>
      <c r="G1735" s="25" t="str">
        <f t="shared" si="0"/>
        <v/>
      </c>
      <c r="N1735" s="44" t="str">
        <f>IF(COUNTA(B1735)&gt;0,C5,"")</f>
        <v/>
      </c>
      <c r="AO1735" t="str">
        <f t="shared" si="27"/>
        <v/>
      </c>
    </row>
    <row r="1736" spans="1:41" x14ac:dyDescent="0.2">
      <c r="A1736" s="44" t="str">
        <f>IF(COUNTA(B1736)&gt;0,1728,"")</f>
        <v/>
      </c>
      <c r="G1736" s="25" t="str">
        <f t="shared" si="0"/>
        <v/>
      </c>
      <c r="N1736" s="44" t="str">
        <f>IF(COUNTA(B1736)&gt;0,C5,"")</f>
        <v/>
      </c>
      <c r="AO1736" t="str">
        <f t="shared" si="27"/>
        <v/>
      </c>
    </row>
    <row r="1737" spans="1:41" x14ac:dyDescent="0.2">
      <c r="A1737" s="44" t="str">
        <f>IF(COUNTA(B1737)&gt;0,1729,"")</f>
        <v/>
      </c>
      <c r="G1737" s="25" t="str">
        <f t="shared" si="0"/>
        <v/>
      </c>
      <c r="N1737" s="44" t="str">
        <f>IF(COUNTA(B1737)&gt;0,C5,"")</f>
        <v/>
      </c>
      <c r="AO1737" t="str">
        <f t="shared" ref="AO1737:AO1800" si="28">IF(COUNTA(L1737:M1737)&lt;&gt;0,"Có",IF(COUNTA(B1737)&gt;0,"Không",""))</f>
        <v/>
      </c>
    </row>
    <row r="1738" spans="1:41" x14ac:dyDescent="0.2">
      <c r="A1738" s="44" t="str">
        <f>IF(COUNTA(B1738)&gt;0,1730,"")</f>
        <v/>
      </c>
      <c r="G1738" s="25" t="str">
        <f t="shared" si="0"/>
        <v/>
      </c>
      <c r="N1738" s="44" t="str">
        <f>IF(COUNTA(B1738)&gt;0,C5,"")</f>
        <v/>
      </c>
      <c r="AO1738" t="str">
        <f t="shared" si="28"/>
        <v/>
      </c>
    </row>
    <row r="1739" spans="1:41" x14ac:dyDescent="0.2">
      <c r="A1739" s="44" t="str">
        <f>IF(COUNTA(B1739)&gt;0,1731,"")</f>
        <v/>
      </c>
      <c r="G1739" s="25" t="str">
        <f t="shared" si="0"/>
        <v/>
      </c>
      <c r="N1739" s="44" t="str">
        <f>IF(COUNTA(B1739)&gt;0,C5,"")</f>
        <v/>
      </c>
      <c r="AO1739" t="str">
        <f t="shared" si="28"/>
        <v/>
      </c>
    </row>
    <row r="1740" spans="1:41" x14ac:dyDescent="0.2">
      <c r="A1740" s="44" t="str">
        <f>IF(COUNTA(B1740)&gt;0,1732,"")</f>
        <v/>
      </c>
      <c r="G1740" s="25" t="str">
        <f t="shared" si="0"/>
        <v/>
      </c>
      <c r="N1740" s="44" t="str">
        <f>IF(COUNTA(B1740)&gt;0,C5,"")</f>
        <v/>
      </c>
      <c r="AO1740" t="str">
        <f t="shared" si="28"/>
        <v/>
      </c>
    </row>
    <row r="1741" spans="1:41" x14ac:dyDescent="0.2">
      <c r="A1741" s="44" t="str">
        <f>IF(COUNTA(B1741)&gt;0,1733,"")</f>
        <v/>
      </c>
      <c r="G1741" s="25" t="str">
        <f t="shared" si="0"/>
        <v/>
      </c>
      <c r="N1741" s="44" t="str">
        <f>IF(COUNTA(B1741)&gt;0,C5,"")</f>
        <v/>
      </c>
      <c r="AO1741" t="str">
        <f t="shared" si="28"/>
        <v/>
      </c>
    </row>
    <row r="1742" spans="1:41" x14ac:dyDescent="0.2">
      <c r="A1742" s="44" t="str">
        <f>IF(COUNTA(B1742)&gt;0,1734,"")</f>
        <v/>
      </c>
      <c r="G1742" s="25" t="str">
        <f t="shared" si="0"/>
        <v/>
      </c>
      <c r="N1742" s="44" t="str">
        <f>IF(COUNTA(B1742)&gt;0,C5,"")</f>
        <v/>
      </c>
      <c r="AO1742" t="str">
        <f t="shared" si="28"/>
        <v/>
      </c>
    </row>
    <row r="1743" spans="1:41" x14ac:dyDescent="0.2">
      <c r="A1743" s="44" t="str">
        <f>IF(COUNTA(B1743)&gt;0,1735,"")</f>
        <v/>
      </c>
      <c r="G1743" s="25" t="str">
        <f t="shared" si="0"/>
        <v/>
      </c>
      <c r="N1743" s="44" t="str">
        <f>IF(COUNTA(B1743)&gt;0,C5,"")</f>
        <v/>
      </c>
      <c r="AO1743" t="str">
        <f t="shared" si="28"/>
        <v/>
      </c>
    </row>
    <row r="1744" spans="1:41" x14ac:dyDescent="0.2">
      <c r="A1744" s="44" t="str">
        <f>IF(COUNTA(B1744)&gt;0,1736,"")</f>
        <v/>
      </c>
      <c r="G1744" s="25" t="str">
        <f t="shared" si="0"/>
        <v/>
      </c>
      <c r="N1744" s="44" t="str">
        <f>IF(COUNTA(B1744)&gt;0,C5,"")</f>
        <v/>
      </c>
      <c r="AO1744" t="str">
        <f t="shared" si="28"/>
        <v/>
      </c>
    </row>
    <row r="1745" spans="1:41" x14ac:dyDescent="0.2">
      <c r="A1745" s="44" t="str">
        <f>IF(COUNTA(B1745)&gt;0,1737,"")</f>
        <v/>
      </c>
      <c r="G1745" s="25" t="str">
        <f t="shared" si="0"/>
        <v/>
      </c>
      <c r="N1745" s="44" t="str">
        <f>IF(COUNTA(B1745)&gt;0,C5,"")</f>
        <v/>
      </c>
      <c r="AO1745" t="str">
        <f t="shared" si="28"/>
        <v/>
      </c>
    </row>
    <row r="1746" spans="1:41" x14ac:dyDescent="0.2">
      <c r="A1746" s="44" t="str">
        <f>IF(COUNTA(B1746)&gt;0,1738,"")</f>
        <v/>
      </c>
      <c r="G1746" s="25" t="str">
        <f t="shared" si="0"/>
        <v/>
      </c>
      <c r="N1746" s="44" t="str">
        <f>IF(COUNTA(B1746)&gt;0,C5,"")</f>
        <v/>
      </c>
      <c r="AO1746" t="str">
        <f t="shared" si="28"/>
        <v/>
      </c>
    </row>
    <row r="1747" spans="1:41" x14ac:dyDescent="0.2">
      <c r="A1747" s="44" t="str">
        <f>IF(COUNTA(B1747)&gt;0,1739,"")</f>
        <v/>
      </c>
      <c r="G1747" s="25" t="str">
        <f t="shared" si="0"/>
        <v/>
      </c>
      <c r="N1747" s="44" t="str">
        <f>IF(COUNTA(B1747)&gt;0,C5,"")</f>
        <v/>
      </c>
      <c r="AO1747" t="str">
        <f t="shared" si="28"/>
        <v/>
      </c>
    </row>
    <row r="1748" spans="1:41" x14ac:dyDescent="0.2">
      <c r="A1748" s="44" t="str">
        <f>IF(COUNTA(B1748)&gt;0,1740,"")</f>
        <v/>
      </c>
      <c r="G1748" s="25" t="str">
        <f t="shared" si="0"/>
        <v/>
      </c>
      <c r="N1748" s="44" t="str">
        <f>IF(COUNTA(B1748)&gt;0,C5,"")</f>
        <v/>
      </c>
      <c r="AO1748" t="str">
        <f t="shared" si="28"/>
        <v/>
      </c>
    </row>
    <row r="1749" spans="1:41" x14ac:dyDescent="0.2">
      <c r="A1749" s="44" t="str">
        <f>IF(COUNTA(B1749)&gt;0,1741,"")</f>
        <v/>
      </c>
      <c r="G1749" s="25" t="str">
        <f t="shared" si="0"/>
        <v/>
      </c>
      <c r="N1749" s="44" t="str">
        <f>IF(COUNTA(B1749)&gt;0,C5,"")</f>
        <v/>
      </c>
      <c r="AO1749" t="str">
        <f t="shared" si="28"/>
        <v/>
      </c>
    </row>
    <row r="1750" spans="1:41" x14ac:dyDescent="0.2">
      <c r="A1750" s="44" t="str">
        <f>IF(COUNTA(B1750)&gt;0,1742,"")</f>
        <v/>
      </c>
      <c r="G1750" s="25" t="str">
        <f t="shared" si="0"/>
        <v/>
      </c>
      <c r="N1750" s="44" t="str">
        <f>IF(COUNTA(B1750)&gt;0,C5,"")</f>
        <v/>
      </c>
      <c r="AO1750" t="str">
        <f t="shared" si="28"/>
        <v/>
      </c>
    </row>
    <row r="1751" spans="1:41" x14ac:dyDescent="0.2">
      <c r="A1751" s="44" t="str">
        <f>IF(COUNTA(B1751)&gt;0,1743,"")</f>
        <v/>
      </c>
      <c r="G1751" s="25" t="str">
        <f t="shared" si="0"/>
        <v/>
      </c>
      <c r="N1751" s="44" t="str">
        <f>IF(COUNTA(B1751)&gt;0,C5,"")</f>
        <v/>
      </c>
      <c r="AO1751" t="str">
        <f t="shared" si="28"/>
        <v/>
      </c>
    </row>
    <row r="1752" spans="1:41" x14ac:dyDescent="0.2">
      <c r="A1752" s="44" t="str">
        <f>IF(COUNTA(B1752)&gt;0,1744,"")</f>
        <v/>
      </c>
      <c r="G1752" s="25" t="str">
        <f t="shared" si="0"/>
        <v/>
      </c>
      <c r="N1752" s="44" t="str">
        <f>IF(COUNTA(B1752)&gt;0,C5,"")</f>
        <v/>
      </c>
      <c r="AO1752" t="str">
        <f t="shared" si="28"/>
        <v/>
      </c>
    </row>
    <row r="1753" spans="1:41" x14ac:dyDescent="0.2">
      <c r="A1753" s="44" t="str">
        <f>IF(COUNTA(B1753)&gt;0,1745,"")</f>
        <v/>
      </c>
      <c r="G1753" s="25" t="str">
        <f t="shared" si="0"/>
        <v/>
      </c>
      <c r="N1753" s="44" t="str">
        <f>IF(COUNTA(B1753)&gt;0,C5,"")</f>
        <v/>
      </c>
      <c r="AO1753" t="str">
        <f t="shared" si="28"/>
        <v/>
      </c>
    </row>
    <row r="1754" spans="1:41" x14ac:dyDescent="0.2">
      <c r="A1754" s="44" t="str">
        <f>IF(COUNTA(B1754)&gt;0,1746,"")</f>
        <v/>
      </c>
      <c r="G1754" s="25" t="str">
        <f t="shared" si="0"/>
        <v/>
      </c>
      <c r="N1754" s="44" t="str">
        <f>IF(COUNTA(B1754)&gt;0,C5,"")</f>
        <v/>
      </c>
      <c r="AO1754" t="str">
        <f t="shared" si="28"/>
        <v/>
      </c>
    </row>
    <row r="1755" spans="1:41" x14ac:dyDescent="0.2">
      <c r="A1755" s="44" t="str">
        <f>IF(COUNTA(B1755)&gt;0,1747,"")</f>
        <v/>
      </c>
      <c r="G1755" s="25" t="str">
        <f t="shared" si="0"/>
        <v/>
      </c>
      <c r="N1755" s="44" t="str">
        <f>IF(COUNTA(B1755)&gt;0,C5,"")</f>
        <v/>
      </c>
      <c r="AO1755" t="str">
        <f t="shared" si="28"/>
        <v/>
      </c>
    </row>
    <row r="1756" spans="1:41" x14ac:dyDescent="0.2">
      <c r="A1756" s="44" t="str">
        <f>IF(COUNTA(B1756)&gt;0,1748,"")</f>
        <v/>
      </c>
      <c r="G1756" s="25" t="str">
        <f t="shared" si="0"/>
        <v/>
      </c>
      <c r="N1756" s="44" t="str">
        <f>IF(COUNTA(B1756)&gt;0,C5,"")</f>
        <v/>
      </c>
      <c r="AO1756" t="str">
        <f t="shared" si="28"/>
        <v/>
      </c>
    </row>
    <row r="1757" spans="1:41" x14ac:dyDescent="0.2">
      <c r="A1757" s="44" t="str">
        <f>IF(COUNTA(B1757)&gt;0,1749,"")</f>
        <v/>
      </c>
      <c r="G1757" s="25" t="str">
        <f t="shared" si="0"/>
        <v/>
      </c>
      <c r="N1757" s="44" t="str">
        <f>IF(COUNTA(B1757)&gt;0,C5,"")</f>
        <v/>
      </c>
      <c r="AO1757" t="str">
        <f t="shared" si="28"/>
        <v/>
      </c>
    </row>
    <row r="1758" spans="1:41" x14ac:dyDescent="0.2">
      <c r="A1758" s="44" t="str">
        <f>IF(COUNTA(B1758)&gt;0,1750,"")</f>
        <v/>
      </c>
      <c r="G1758" s="25" t="str">
        <f t="shared" si="0"/>
        <v/>
      </c>
      <c r="N1758" s="44" t="str">
        <f>IF(COUNTA(B1758)&gt;0,C5,"")</f>
        <v/>
      </c>
      <c r="AO1758" t="str">
        <f t="shared" si="28"/>
        <v/>
      </c>
    </row>
    <row r="1759" spans="1:41" x14ac:dyDescent="0.2">
      <c r="A1759" s="44" t="str">
        <f>IF(COUNTA(B1759)&gt;0,1751,"")</f>
        <v/>
      </c>
      <c r="G1759" s="25" t="str">
        <f t="shared" si="0"/>
        <v/>
      </c>
      <c r="N1759" s="44" t="str">
        <f>IF(COUNTA(B1759)&gt;0,C5,"")</f>
        <v/>
      </c>
      <c r="AO1759" t="str">
        <f t="shared" si="28"/>
        <v/>
      </c>
    </row>
    <row r="1760" spans="1:41" x14ac:dyDescent="0.2">
      <c r="A1760" s="44" t="str">
        <f>IF(COUNTA(B1760)&gt;0,1752,"")</f>
        <v/>
      </c>
      <c r="G1760" s="25" t="str">
        <f t="shared" si="0"/>
        <v/>
      </c>
      <c r="N1760" s="44" t="str">
        <f>IF(COUNTA(B1760)&gt;0,C5,"")</f>
        <v/>
      </c>
      <c r="AO1760" t="str">
        <f t="shared" si="28"/>
        <v/>
      </c>
    </row>
    <row r="1761" spans="1:41" x14ac:dyDescent="0.2">
      <c r="A1761" s="44" t="str">
        <f>IF(COUNTA(B1761)&gt;0,1753,"")</f>
        <v/>
      </c>
      <c r="G1761" s="25" t="str">
        <f t="shared" si="0"/>
        <v/>
      </c>
      <c r="N1761" s="44" t="str">
        <f>IF(COUNTA(B1761)&gt;0,C5,"")</f>
        <v/>
      </c>
      <c r="AO1761" t="str">
        <f t="shared" si="28"/>
        <v/>
      </c>
    </row>
    <row r="1762" spans="1:41" x14ac:dyDescent="0.2">
      <c r="A1762" s="44" t="str">
        <f>IF(COUNTA(B1762)&gt;0,1754,"")</f>
        <v/>
      </c>
      <c r="G1762" s="25" t="str">
        <f t="shared" si="0"/>
        <v/>
      </c>
      <c r="N1762" s="44" t="str">
        <f>IF(COUNTA(B1762)&gt;0,C5,"")</f>
        <v/>
      </c>
      <c r="AO1762" t="str">
        <f t="shared" si="28"/>
        <v/>
      </c>
    </row>
    <row r="1763" spans="1:41" x14ac:dyDescent="0.2">
      <c r="A1763" s="44" t="str">
        <f>IF(COUNTA(B1763)&gt;0,1755,"")</f>
        <v/>
      </c>
      <c r="G1763" s="25" t="str">
        <f t="shared" si="0"/>
        <v/>
      </c>
      <c r="N1763" s="44" t="str">
        <f>IF(COUNTA(B1763)&gt;0,C5,"")</f>
        <v/>
      </c>
      <c r="AO1763" t="str">
        <f t="shared" si="28"/>
        <v/>
      </c>
    </row>
    <row r="1764" spans="1:41" x14ac:dyDescent="0.2">
      <c r="A1764" s="44" t="str">
        <f>IF(COUNTA(B1764)&gt;0,1756,"")</f>
        <v/>
      </c>
      <c r="G1764" s="25" t="str">
        <f t="shared" si="0"/>
        <v/>
      </c>
      <c r="N1764" s="44" t="str">
        <f>IF(COUNTA(B1764)&gt;0,C5,"")</f>
        <v/>
      </c>
      <c r="AO1764" t="str">
        <f t="shared" si="28"/>
        <v/>
      </c>
    </row>
    <row r="1765" spans="1:41" x14ac:dyDescent="0.2">
      <c r="A1765" s="44" t="str">
        <f>IF(COUNTA(B1765)&gt;0,1757,"")</f>
        <v/>
      </c>
      <c r="G1765" s="25" t="str">
        <f t="shared" si="0"/>
        <v/>
      </c>
      <c r="N1765" s="44" t="str">
        <f>IF(COUNTA(B1765)&gt;0,C5,"")</f>
        <v/>
      </c>
      <c r="AO1765" t="str">
        <f t="shared" si="28"/>
        <v/>
      </c>
    </row>
    <row r="1766" spans="1:41" x14ac:dyDescent="0.2">
      <c r="A1766" s="44" t="str">
        <f>IF(COUNTA(B1766)&gt;0,1758,"")</f>
        <v/>
      </c>
      <c r="G1766" s="25" t="str">
        <f t="shared" si="0"/>
        <v/>
      </c>
      <c r="N1766" s="44" t="str">
        <f>IF(COUNTA(B1766)&gt;0,C5,"")</f>
        <v/>
      </c>
      <c r="AO1766" t="str">
        <f t="shared" si="28"/>
        <v/>
      </c>
    </row>
    <row r="1767" spans="1:41" x14ac:dyDescent="0.2">
      <c r="A1767" s="44" t="str">
        <f>IF(COUNTA(B1767)&gt;0,1759,"")</f>
        <v/>
      </c>
      <c r="G1767" s="25" t="str">
        <f t="shared" si="0"/>
        <v/>
      </c>
      <c r="N1767" s="44" t="str">
        <f>IF(COUNTA(B1767)&gt;0,C5,"")</f>
        <v/>
      </c>
      <c r="AO1767" t="str">
        <f t="shared" si="28"/>
        <v/>
      </c>
    </row>
    <row r="1768" spans="1:41" x14ac:dyDescent="0.2">
      <c r="A1768" s="44" t="str">
        <f>IF(COUNTA(B1768)&gt;0,1760,"")</f>
        <v/>
      </c>
      <c r="G1768" s="25" t="str">
        <f t="shared" si="0"/>
        <v/>
      </c>
      <c r="N1768" s="44" t="str">
        <f>IF(COUNTA(B1768)&gt;0,C5,"")</f>
        <v/>
      </c>
      <c r="AO1768" t="str">
        <f t="shared" si="28"/>
        <v/>
      </c>
    </row>
    <row r="1769" spans="1:41" x14ac:dyDescent="0.2">
      <c r="A1769" s="44" t="str">
        <f>IF(COUNTA(B1769)&gt;0,1761,"")</f>
        <v/>
      </c>
      <c r="G1769" s="25" t="str">
        <f t="shared" si="0"/>
        <v/>
      </c>
      <c r="N1769" s="44" t="str">
        <f>IF(COUNTA(B1769)&gt;0,C5,"")</f>
        <v/>
      </c>
      <c r="AO1769" t="str">
        <f t="shared" si="28"/>
        <v/>
      </c>
    </row>
    <row r="1770" spans="1:41" x14ac:dyDescent="0.2">
      <c r="A1770" s="44" t="str">
        <f>IF(COUNTA(B1770)&gt;0,1762,"")</f>
        <v/>
      </c>
      <c r="G1770" s="25" t="str">
        <f t="shared" si="0"/>
        <v/>
      </c>
      <c r="N1770" s="44" t="str">
        <f>IF(COUNTA(B1770)&gt;0,C5,"")</f>
        <v/>
      </c>
      <c r="AO1770" t="str">
        <f t="shared" si="28"/>
        <v/>
      </c>
    </row>
    <row r="1771" spans="1:41" x14ac:dyDescent="0.2">
      <c r="A1771" s="44" t="str">
        <f>IF(COUNTA(B1771)&gt;0,1763,"")</f>
        <v/>
      </c>
      <c r="G1771" s="25" t="str">
        <f t="shared" si="0"/>
        <v/>
      </c>
      <c r="N1771" s="44" t="str">
        <f>IF(COUNTA(B1771)&gt;0,C5,"")</f>
        <v/>
      </c>
      <c r="AO1771" t="str">
        <f t="shared" si="28"/>
        <v/>
      </c>
    </row>
    <row r="1772" spans="1:41" x14ac:dyDescent="0.2">
      <c r="A1772" s="44" t="str">
        <f>IF(COUNTA(B1772)&gt;0,1764,"")</f>
        <v/>
      </c>
      <c r="G1772" s="25" t="str">
        <f t="shared" si="0"/>
        <v/>
      </c>
      <c r="N1772" s="44" t="str">
        <f>IF(COUNTA(B1772)&gt;0,C5,"")</f>
        <v/>
      </c>
      <c r="AO1772" t="str">
        <f t="shared" si="28"/>
        <v/>
      </c>
    </row>
    <row r="1773" spans="1:41" x14ac:dyDescent="0.2">
      <c r="A1773" s="44" t="str">
        <f>IF(COUNTA(B1773)&gt;0,1765,"")</f>
        <v/>
      </c>
      <c r="G1773" s="25" t="str">
        <f t="shared" si="0"/>
        <v/>
      </c>
      <c r="N1773" s="44" t="str">
        <f>IF(COUNTA(B1773)&gt;0,C5,"")</f>
        <v/>
      </c>
      <c r="AO1773" t="str">
        <f t="shared" si="28"/>
        <v/>
      </c>
    </row>
    <row r="1774" spans="1:41" x14ac:dyDescent="0.2">
      <c r="A1774" s="44" t="str">
        <f>IF(COUNTA(B1774)&gt;0,1766,"")</f>
        <v/>
      </c>
      <c r="G1774" s="25" t="str">
        <f t="shared" si="0"/>
        <v/>
      </c>
      <c r="N1774" s="44" t="str">
        <f>IF(COUNTA(B1774)&gt;0,C5,"")</f>
        <v/>
      </c>
      <c r="AO1774" t="str">
        <f t="shared" si="28"/>
        <v/>
      </c>
    </row>
    <row r="1775" spans="1:41" x14ac:dyDescent="0.2">
      <c r="A1775" s="44" t="str">
        <f>IF(COUNTA(B1775)&gt;0,1767,"")</f>
        <v/>
      </c>
      <c r="G1775" s="25" t="str">
        <f t="shared" si="0"/>
        <v/>
      </c>
      <c r="N1775" s="44" t="str">
        <f>IF(COUNTA(B1775)&gt;0,C5,"")</f>
        <v/>
      </c>
      <c r="AO1775" t="str">
        <f t="shared" si="28"/>
        <v/>
      </c>
    </row>
    <row r="1776" spans="1:41" x14ac:dyDescent="0.2">
      <c r="A1776" s="44" t="str">
        <f>IF(COUNTA(B1776)&gt;0,1768,"")</f>
        <v/>
      </c>
      <c r="G1776" s="25" t="str">
        <f t="shared" si="0"/>
        <v/>
      </c>
      <c r="N1776" s="44" t="str">
        <f>IF(COUNTA(B1776)&gt;0,C5,"")</f>
        <v/>
      </c>
      <c r="AO1776" t="str">
        <f t="shared" si="28"/>
        <v/>
      </c>
    </row>
    <row r="1777" spans="1:41" x14ac:dyDescent="0.2">
      <c r="A1777" s="44" t="str">
        <f>IF(COUNTA(B1777)&gt;0,1769,"")</f>
        <v/>
      </c>
      <c r="G1777" s="25" t="str">
        <f t="shared" si="0"/>
        <v/>
      </c>
      <c r="N1777" s="44" t="str">
        <f>IF(COUNTA(B1777)&gt;0,C5,"")</f>
        <v/>
      </c>
      <c r="AO1777" t="str">
        <f t="shared" si="28"/>
        <v/>
      </c>
    </row>
    <row r="1778" spans="1:41" x14ac:dyDescent="0.2">
      <c r="A1778" s="44" t="str">
        <f>IF(COUNTA(B1778)&gt;0,1770,"")</f>
        <v/>
      </c>
      <c r="G1778" s="25" t="str">
        <f t="shared" si="0"/>
        <v/>
      </c>
      <c r="N1778" s="44" t="str">
        <f>IF(COUNTA(B1778)&gt;0,C5,"")</f>
        <v/>
      </c>
      <c r="AO1778" t="str">
        <f t="shared" si="28"/>
        <v/>
      </c>
    </row>
    <row r="1779" spans="1:41" x14ac:dyDescent="0.2">
      <c r="A1779" s="44" t="str">
        <f>IF(COUNTA(B1779)&gt;0,1771,"")</f>
        <v/>
      </c>
      <c r="G1779" s="25" t="str">
        <f t="shared" si="0"/>
        <v/>
      </c>
      <c r="N1779" s="44" t="str">
        <f>IF(COUNTA(B1779)&gt;0,C5,"")</f>
        <v/>
      </c>
      <c r="AO1779" t="str">
        <f t="shared" si="28"/>
        <v/>
      </c>
    </row>
    <row r="1780" spans="1:41" x14ac:dyDescent="0.2">
      <c r="A1780" s="44" t="str">
        <f>IF(COUNTA(B1780)&gt;0,1772,"")</f>
        <v/>
      </c>
      <c r="G1780" s="25" t="str">
        <f t="shared" si="0"/>
        <v/>
      </c>
      <c r="N1780" s="44" t="str">
        <f>IF(COUNTA(B1780)&gt;0,C5,"")</f>
        <v/>
      </c>
      <c r="AO1780" t="str">
        <f t="shared" si="28"/>
        <v/>
      </c>
    </row>
    <row r="1781" spans="1:41" x14ac:dyDescent="0.2">
      <c r="A1781" s="44" t="str">
        <f>IF(COUNTA(B1781)&gt;0,1773,"")</f>
        <v/>
      </c>
      <c r="G1781" s="25" t="str">
        <f t="shared" si="0"/>
        <v/>
      </c>
      <c r="N1781" s="44" t="str">
        <f>IF(COUNTA(B1781)&gt;0,C5,"")</f>
        <v/>
      </c>
      <c r="AO1781" t="str">
        <f t="shared" si="28"/>
        <v/>
      </c>
    </row>
    <row r="1782" spans="1:41" x14ac:dyDescent="0.2">
      <c r="A1782" s="44" t="str">
        <f>IF(COUNTA(B1782)&gt;0,1774,"")</f>
        <v/>
      </c>
      <c r="G1782" s="25" t="str">
        <f t="shared" si="0"/>
        <v/>
      </c>
      <c r="N1782" s="44" t="str">
        <f>IF(COUNTA(B1782)&gt;0,C5,"")</f>
        <v/>
      </c>
      <c r="AO1782" t="str">
        <f t="shared" si="28"/>
        <v/>
      </c>
    </row>
    <row r="1783" spans="1:41" x14ac:dyDescent="0.2">
      <c r="A1783" s="44" t="str">
        <f>IF(COUNTA(B1783)&gt;0,1775,"")</f>
        <v/>
      </c>
      <c r="G1783" s="25" t="str">
        <f t="shared" si="0"/>
        <v/>
      </c>
      <c r="N1783" s="44" t="str">
        <f>IF(COUNTA(B1783)&gt;0,C5,"")</f>
        <v/>
      </c>
      <c r="AO1783" t="str">
        <f t="shared" si="28"/>
        <v/>
      </c>
    </row>
    <row r="1784" spans="1:41" x14ac:dyDescent="0.2">
      <c r="A1784" s="44" t="str">
        <f>IF(COUNTA(B1784)&gt;0,1776,"")</f>
        <v/>
      </c>
      <c r="G1784" s="25" t="str">
        <f t="shared" si="0"/>
        <v/>
      </c>
      <c r="N1784" s="44" t="str">
        <f>IF(COUNTA(B1784)&gt;0,C5,"")</f>
        <v/>
      </c>
      <c r="AO1784" t="str">
        <f t="shared" si="28"/>
        <v/>
      </c>
    </row>
    <row r="1785" spans="1:41" x14ac:dyDescent="0.2">
      <c r="A1785" s="44" t="str">
        <f>IF(COUNTA(B1785)&gt;0,1777,"")</f>
        <v/>
      </c>
      <c r="G1785" s="25" t="str">
        <f t="shared" si="0"/>
        <v/>
      </c>
      <c r="N1785" s="44" t="str">
        <f>IF(COUNTA(B1785)&gt;0,C5,"")</f>
        <v/>
      </c>
      <c r="AO1785" t="str">
        <f t="shared" si="28"/>
        <v/>
      </c>
    </row>
    <row r="1786" spans="1:41" x14ac:dyDescent="0.2">
      <c r="A1786" s="44" t="str">
        <f>IF(COUNTA(B1786)&gt;0,1778,"")</f>
        <v/>
      </c>
      <c r="G1786" s="25" t="str">
        <f t="shared" si="0"/>
        <v/>
      </c>
      <c r="N1786" s="44" t="str">
        <f>IF(COUNTA(B1786)&gt;0,C5,"")</f>
        <v/>
      </c>
      <c r="AO1786" t="str">
        <f t="shared" si="28"/>
        <v/>
      </c>
    </row>
    <row r="1787" spans="1:41" x14ac:dyDescent="0.2">
      <c r="A1787" s="44" t="str">
        <f>IF(COUNTA(B1787)&gt;0,1779,"")</f>
        <v/>
      </c>
      <c r="G1787" s="25" t="str">
        <f t="shared" si="0"/>
        <v/>
      </c>
      <c r="N1787" s="44" t="str">
        <f>IF(COUNTA(B1787)&gt;0,C5,"")</f>
        <v/>
      </c>
      <c r="AO1787" t="str">
        <f t="shared" si="28"/>
        <v/>
      </c>
    </row>
    <row r="1788" spans="1:41" x14ac:dyDescent="0.2">
      <c r="A1788" s="44" t="str">
        <f>IF(COUNTA(B1788)&gt;0,1780,"")</f>
        <v/>
      </c>
      <c r="G1788" s="25" t="str">
        <f t="shared" si="0"/>
        <v/>
      </c>
      <c r="N1788" s="44" t="str">
        <f>IF(COUNTA(B1788)&gt;0,C5,"")</f>
        <v/>
      </c>
      <c r="AO1788" t="str">
        <f t="shared" si="28"/>
        <v/>
      </c>
    </row>
    <row r="1789" spans="1:41" x14ac:dyDescent="0.2">
      <c r="A1789" s="44" t="str">
        <f>IF(COUNTA(B1789)&gt;0,1781,"")</f>
        <v/>
      </c>
      <c r="G1789" s="25" t="str">
        <f t="shared" si="0"/>
        <v/>
      </c>
      <c r="N1789" s="44" t="str">
        <f>IF(COUNTA(B1789)&gt;0,C5,"")</f>
        <v/>
      </c>
      <c r="AO1789" t="str">
        <f t="shared" si="28"/>
        <v/>
      </c>
    </row>
    <row r="1790" spans="1:41" x14ac:dyDescent="0.2">
      <c r="A1790" s="44" t="str">
        <f>IF(COUNTA(B1790)&gt;0,1782,"")</f>
        <v/>
      </c>
      <c r="G1790" s="25" t="str">
        <f t="shared" si="0"/>
        <v/>
      </c>
      <c r="N1790" s="44" t="str">
        <f>IF(COUNTA(B1790)&gt;0,C5,"")</f>
        <v/>
      </c>
      <c r="AO1790" t="str">
        <f t="shared" si="28"/>
        <v/>
      </c>
    </row>
    <row r="1791" spans="1:41" x14ac:dyDescent="0.2">
      <c r="A1791" s="44" t="str">
        <f>IF(COUNTA(B1791)&gt;0,1783,"")</f>
        <v/>
      </c>
      <c r="G1791" s="25" t="str">
        <f t="shared" si="0"/>
        <v/>
      </c>
      <c r="N1791" s="44" t="str">
        <f>IF(COUNTA(B1791)&gt;0,C5,"")</f>
        <v/>
      </c>
      <c r="AO1791" t="str">
        <f t="shared" si="28"/>
        <v/>
      </c>
    </row>
    <row r="1792" spans="1:41" x14ac:dyDescent="0.2">
      <c r="A1792" s="44" t="str">
        <f>IF(COUNTA(B1792)&gt;0,1784,"")</f>
        <v/>
      </c>
      <c r="G1792" s="25" t="str">
        <f t="shared" si="0"/>
        <v/>
      </c>
      <c r="N1792" s="44" t="str">
        <f>IF(COUNTA(B1792)&gt;0,C5,"")</f>
        <v/>
      </c>
      <c r="AO1792" t="str">
        <f t="shared" si="28"/>
        <v/>
      </c>
    </row>
    <row r="1793" spans="1:41" x14ac:dyDescent="0.2">
      <c r="A1793" s="44" t="str">
        <f>IF(COUNTA(B1793)&gt;0,1785,"")</f>
        <v/>
      </c>
      <c r="G1793" s="25" t="str">
        <f t="shared" si="0"/>
        <v/>
      </c>
      <c r="N1793" s="44" t="str">
        <f>IF(COUNTA(B1793)&gt;0,C5,"")</f>
        <v/>
      </c>
      <c r="AO1793" t="str">
        <f t="shared" si="28"/>
        <v/>
      </c>
    </row>
    <row r="1794" spans="1:41" x14ac:dyDescent="0.2">
      <c r="A1794" s="44" t="str">
        <f>IF(COUNTA(B1794)&gt;0,1786,"")</f>
        <v/>
      </c>
      <c r="G1794" s="25" t="str">
        <f t="shared" si="0"/>
        <v/>
      </c>
      <c r="N1794" s="44" t="str">
        <f>IF(COUNTA(B1794)&gt;0,C5,"")</f>
        <v/>
      </c>
      <c r="AO1794" t="str">
        <f t="shared" si="28"/>
        <v/>
      </c>
    </row>
    <row r="1795" spans="1:41" x14ac:dyDescent="0.2">
      <c r="A1795" s="44" t="str">
        <f>IF(COUNTA(B1795)&gt;0,1787,"")</f>
        <v/>
      </c>
      <c r="G1795" s="25" t="str">
        <f t="shared" si="0"/>
        <v/>
      </c>
      <c r="N1795" s="44" t="str">
        <f>IF(COUNTA(B1795)&gt;0,C5,"")</f>
        <v/>
      </c>
      <c r="AO1795" t="str">
        <f t="shared" si="28"/>
        <v/>
      </c>
    </row>
    <row r="1796" spans="1:41" x14ac:dyDescent="0.2">
      <c r="A1796" s="44" t="str">
        <f>IF(COUNTA(B1796)&gt;0,1788,"")</f>
        <v/>
      </c>
      <c r="G1796" s="25" t="str">
        <f t="shared" si="0"/>
        <v/>
      </c>
      <c r="N1796" s="44" t="str">
        <f>IF(COUNTA(B1796)&gt;0,C5,"")</f>
        <v/>
      </c>
      <c r="AO1796" t="str">
        <f t="shared" si="28"/>
        <v/>
      </c>
    </row>
    <row r="1797" spans="1:41" x14ac:dyDescent="0.2">
      <c r="A1797" s="44" t="str">
        <f>IF(COUNTA(B1797)&gt;0,1789,"")</f>
        <v/>
      </c>
      <c r="G1797" s="25" t="str">
        <f t="shared" si="0"/>
        <v/>
      </c>
      <c r="N1797" s="44" t="str">
        <f>IF(COUNTA(B1797)&gt;0,C5,"")</f>
        <v/>
      </c>
      <c r="AO1797" t="str">
        <f t="shared" si="28"/>
        <v/>
      </c>
    </row>
    <row r="1798" spans="1:41" x14ac:dyDescent="0.2">
      <c r="A1798" s="44" t="str">
        <f>IF(COUNTA(B1798)&gt;0,1790,"")</f>
        <v/>
      </c>
      <c r="G1798" s="25" t="str">
        <f t="shared" si="0"/>
        <v/>
      </c>
      <c r="N1798" s="44" t="str">
        <f>IF(COUNTA(B1798)&gt;0,C5,"")</f>
        <v/>
      </c>
      <c r="AO1798" t="str">
        <f t="shared" si="28"/>
        <v/>
      </c>
    </row>
    <row r="1799" spans="1:41" x14ac:dyDescent="0.2">
      <c r="A1799" s="44" t="str">
        <f>IF(COUNTA(B1799)&gt;0,1791,"")</f>
        <v/>
      </c>
      <c r="G1799" s="25" t="str">
        <f t="shared" si="0"/>
        <v/>
      </c>
      <c r="N1799" s="44" t="str">
        <f>IF(COUNTA(B1799)&gt;0,C5,"")</f>
        <v/>
      </c>
      <c r="AO1799" t="str">
        <f t="shared" si="28"/>
        <v/>
      </c>
    </row>
    <row r="1800" spans="1:41" x14ac:dyDescent="0.2">
      <c r="A1800" s="44" t="str">
        <f>IF(COUNTA(B1800)&gt;0,1792,"")</f>
        <v/>
      </c>
      <c r="G1800" s="25" t="str">
        <f t="shared" si="0"/>
        <v/>
      </c>
      <c r="N1800" s="44" t="str">
        <f>IF(COUNTA(B1800)&gt;0,C5,"")</f>
        <v/>
      </c>
      <c r="AO1800" t="str">
        <f t="shared" si="28"/>
        <v/>
      </c>
    </row>
    <row r="1801" spans="1:41" x14ac:dyDescent="0.2">
      <c r="A1801" s="44" t="str">
        <f>IF(COUNTA(B1801)&gt;0,1793,"")</f>
        <v/>
      </c>
      <c r="G1801" s="25" t="str">
        <f t="shared" si="0"/>
        <v/>
      </c>
      <c r="N1801" s="44" t="str">
        <f>IF(COUNTA(B1801)&gt;0,C5,"")</f>
        <v/>
      </c>
      <c r="AO1801" t="str">
        <f t="shared" ref="AO1801:AO1864" si="29">IF(COUNTA(L1801:M1801)&lt;&gt;0,"Có",IF(COUNTA(B1801)&gt;0,"Không",""))</f>
        <v/>
      </c>
    </row>
    <row r="1802" spans="1:41" x14ac:dyDescent="0.2">
      <c r="A1802" s="44" t="str">
        <f>IF(COUNTA(B1802)&gt;0,1794,"")</f>
        <v/>
      </c>
      <c r="G1802" s="25" t="str">
        <f t="shared" si="0"/>
        <v/>
      </c>
      <c r="N1802" s="44" t="str">
        <f>IF(COUNTA(B1802)&gt;0,C5,"")</f>
        <v/>
      </c>
      <c r="AO1802" t="str">
        <f t="shared" si="29"/>
        <v/>
      </c>
    </row>
    <row r="1803" spans="1:41" x14ac:dyDescent="0.2">
      <c r="A1803" s="44" t="str">
        <f>IF(COUNTA(B1803)&gt;0,1795,"")</f>
        <v/>
      </c>
      <c r="G1803" s="25" t="str">
        <f t="shared" si="0"/>
        <v/>
      </c>
      <c r="N1803" s="44" t="str">
        <f>IF(COUNTA(B1803)&gt;0,C5,"")</f>
        <v/>
      </c>
      <c r="AO1803" t="str">
        <f t="shared" si="29"/>
        <v/>
      </c>
    </row>
    <row r="1804" spans="1:41" x14ac:dyDescent="0.2">
      <c r="A1804" s="44" t="str">
        <f>IF(COUNTA(B1804)&gt;0,1796,"")</f>
        <v/>
      </c>
      <c r="G1804" s="25" t="str">
        <f t="shared" si="0"/>
        <v/>
      </c>
      <c r="N1804" s="44" t="str">
        <f>IF(COUNTA(B1804)&gt;0,C5,"")</f>
        <v/>
      </c>
      <c r="AO1804" t="str">
        <f t="shared" si="29"/>
        <v/>
      </c>
    </row>
    <row r="1805" spans="1:41" x14ac:dyDescent="0.2">
      <c r="A1805" s="44" t="str">
        <f>IF(COUNTA(B1805)&gt;0,1797,"")</f>
        <v/>
      </c>
      <c r="G1805" s="25" t="str">
        <f t="shared" si="0"/>
        <v/>
      </c>
      <c r="N1805" s="44" t="str">
        <f>IF(COUNTA(B1805)&gt;0,C5,"")</f>
        <v/>
      </c>
      <c r="AO1805" t="str">
        <f t="shared" si="29"/>
        <v/>
      </c>
    </row>
    <row r="1806" spans="1:41" x14ac:dyDescent="0.2">
      <c r="A1806" s="44" t="str">
        <f>IF(COUNTA(B1806)&gt;0,1798,"")</f>
        <v/>
      </c>
      <c r="G1806" s="25" t="str">
        <f t="shared" si="0"/>
        <v/>
      </c>
      <c r="N1806" s="44" t="str">
        <f>IF(COUNTA(B1806)&gt;0,C5,"")</f>
        <v/>
      </c>
      <c r="AO1806" t="str">
        <f t="shared" si="29"/>
        <v/>
      </c>
    </row>
    <row r="1807" spans="1:41" x14ac:dyDescent="0.2">
      <c r="A1807" s="44" t="str">
        <f>IF(COUNTA(B1807)&gt;0,1799,"")</f>
        <v/>
      </c>
      <c r="G1807" s="25" t="str">
        <f t="shared" si="0"/>
        <v/>
      </c>
      <c r="N1807" s="44" t="str">
        <f>IF(COUNTA(B1807)&gt;0,C5,"")</f>
        <v/>
      </c>
      <c r="AO1807" t="str">
        <f t="shared" si="29"/>
        <v/>
      </c>
    </row>
    <row r="1808" spans="1:41" x14ac:dyDescent="0.2">
      <c r="A1808" s="44" t="str">
        <f>IF(COUNTA(B1808)&gt;0,1800,"")</f>
        <v/>
      </c>
      <c r="G1808" s="25" t="str">
        <f t="shared" si="0"/>
        <v/>
      </c>
      <c r="N1808" s="44" t="str">
        <f>IF(COUNTA(B1808)&gt;0,C5,"")</f>
        <v/>
      </c>
      <c r="AO1808" t="str">
        <f t="shared" si="29"/>
        <v/>
      </c>
    </row>
    <row r="1809" spans="1:41" x14ac:dyDescent="0.2">
      <c r="A1809" s="44" t="str">
        <f>IF(COUNTA(B1809)&gt;0,1801,"")</f>
        <v/>
      </c>
      <c r="G1809" s="25" t="str">
        <f t="shared" si="0"/>
        <v/>
      </c>
      <c r="N1809" s="44" t="str">
        <f>IF(COUNTA(B1809)&gt;0,C5,"")</f>
        <v/>
      </c>
      <c r="AO1809" t="str">
        <f t="shared" si="29"/>
        <v/>
      </c>
    </row>
    <row r="1810" spans="1:41" x14ac:dyDescent="0.2">
      <c r="A1810" s="44" t="str">
        <f>IF(COUNTA(B1810)&gt;0,1802,"")</f>
        <v/>
      </c>
      <c r="G1810" s="25" t="str">
        <f t="shared" si="0"/>
        <v/>
      </c>
      <c r="N1810" s="44" t="str">
        <f>IF(COUNTA(B1810)&gt;0,C5,"")</f>
        <v/>
      </c>
      <c r="AO1810" t="str">
        <f t="shared" si="29"/>
        <v/>
      </c>
    </row>
    <row r="1811" spans="1:41" x14ac:dyDescent="0.2">
      <c r="A1811" s="44" t="str">
        <f>IF(COUNTA(B1811)&gt;0,1803,"")</f>
        <v/>
      </c>
      <c r="G1811" s="25" t="str">
        <f t="shared" si="0"/>
        <v/>
      </c>
      <c r="N1811" s="44" t="str">
        <f>IF(COUNTA(B1811)&gt;0,C5,"")</f>
        <v/>
      </c>
      <c r="AO1811" t="str">
        <f t="shared" si="29"/>
        <v/>
      </c>
    </row>
    <row r="1812" spans="1:41" x14ac:dyDescent="0.2">
      <c r="A1812" s="44" t="str">
        <f>IF(COUNTA(B1812)&gt;0,1804,"")</f>
        <v/>
      </c>
      <c r="G1812" s="25" t="str">
        <f t="shared" si="0"/>
        <v/>
      </c>
      <c r="N1812" s="44" t="str">
        <f>IF(COUNTA(B1812)&gt;0,C5,"")</f>
        <v/>
      </c>
      <c r="AO1812" t="str">
        <f t="shared" si="29"/>
        <v/>
      </c>
    </row>
    <row r="1813" spans="1:41" x14ac:dyDescent="0.2">
      <c r="A1813" s="44" t="str">
        <f>IF(COUNTA(B1813)&gt;0,1805,"")</f>
        <v/>
      </c>
      <c r="G1813" s="25" t="str">
        <f t="shared" si="0"/>
        <v/>
      </c>
      <c r="N1813" s="44" t="str">
        <f>IF(COUNTA(B1813)&gt;0,C5,"")</f>
        <v/>
      </c>
      <c r="AO1813" t="str">
        <f t="shared" si="29"/>
        <v/>
      </c>
    </row>
    <row r="1814" spans="1:41" x14ac:dyDescent="0.2">
      <c r="A1814" s="44" t="str">
        <f>IF(COUNTA(B1814)&gt;0,1806,"")</f>
        <v/>
      </c>
      <c r="G1814" s="25" t="str">
        <f t="shared" si="0"/>
        <v/>
      </c>
      <c r="N1814" s="44" t="str">
        <f>IF(COUNTA(B1814)&gt;0,C5,"")</f>
        <v/>
      </c>
      <c r="AO1814" t="str">
        <f t="shared" si="29"/>
        <v/>
      </c>
    </row>
    <row r="1815" spans="1:41" x14ac:dyDescent="0.2">
      <c r="A1815" s="44" t="str">
        <f>IF(COUNTA(B1815)&gt;0,1807,"")</f>
        <v/>
      </c>
      <c r="G1815" s="25" t="str">
        <f t="shared" si="0"/>
        <v/>
      </c>
      <c r="N1815" s="44" t="str">
        <f>IF(COUNTA(B1815)&gt;0,C5,"")</f>
        <v/>
      </c>
      <c r="AO1815" t="str">
        <f t="shared" si="29"/>
        <v/>
      </c>
    </row>
    <row r="1816" spans="1:41" x14ac:dyDescent="0.2">
      <c r="A1816" s="44" t="str">
        <f>IF(COUNTA(B1816)&gt;0,1808,"")</f>
        <v/>
      </c>
      <c r="G1816" s="25" t="str">
        <f t="shared" si="0"/>
        <v/>
      </c>
      <c r="N1816" s="44" t="str">
        <f>IF(COUNTA(B1816)&gt;0,C5,"")</f>
        <v/>
      </c>
      <c r="AO1816" t="str">
        <f t="shared" si="29"/>
        <v/>
      </c>
    </row>
    <row r="1817" spans="1:41" x14ac:dyDescent="0.2">
      <c r="A1817" s="44" t="str">
        <f>IF(COUNTA(B1817)&gt;0,1809,"")</f>
        <v/>
      </c>
      <c r="G1817" s="25" t="str">
        <f t="shared" si="0"/>
        <v/>
      </c>
      <c r="N1817" s="44" t="str">
        <f>IF(COUNTA(B1817)&gt;0,C5,"")</f>
        <v/>
      </c>
      <c r="AO1817" t="str">
        <f t="shared" si="29"/>
        <v/>
      </c>
    </row>
    <row r="1818" spans="1:41" x14ac:dyDescent="0.2">
      <c r="A1818" s="44" t="str">
        <f>IF(COUNTA(B1818)&gt;0,1810,"")</f>
        <v/>
      </c>
      <c r="G1818" s="25" t="str">
        <f t="shared" si="0"/>
        <v/>
      </c>
      <c r="N1818" s="44" t="str">
        <f>IF(COUNTA(B1818)&gt;0,C5,"")</f>
        <v/>
      </c>
      <c r="AO1818" t="str">
        <f t="shared" si="29"/>
        <v/>
      </c>
    </row>
    <row r="1819" spans="1:41" x14ac:dyDescent="0.2">
      <c r="A1819" s="44" t="str">
        <f>IF(COUNTA(B1819)&gt;0,1811,"")</f>
        <v/>
      </c>
      <c r="G1819" s="25" t="str">
        <f t="shared" si="0"/>
        <v/>
      </c>
      <c r="N1819" s="44" t="str">
        <f>IF(COUNTA(B1819)&gt;0,C5,"")</f>
        <v/>
      </c>
      <c r="AO1819" t="str">
        <f t="shared" si="29"/>
        <v/>
      </c>
    </row>
    <row r="1820" spans="1:41" x14ac:dyDescent="0.2">
      <c r="A1820" s="44" t="str">
        <f>IF(COUNTA(B1820)&gt;0,1812,"")</f>
        <v/>
      </c>
      <c r="G1820" s="25" t="str">
        <f t="shared" si="0"/>
        <v/>
      </c>
      <c r="N1820" s="44" t="str">
        <f>IF(COUNTA(B1820)&gt;0,C5,"")</f>
        <v/>
      </c>
      <c r="AO1820" t="str">
        <f t="shared" si="29"/>
        <v/>
      </c>
    </row>
    <row r="1821" spans="1:41" x14ac:dyDescent="0.2">
      <c r="A1821" s="44" t="str">
        <f>IF(COUNTA(B1821)&gt;0,1813,"")</f>
        <v/>
      </c>
      <c r="G1821" s="25" t="str">
        <f t="shared" si="0"/>
        <v/>
      </c>
      <c r="N1821" s="44" t="str">
        <f>IF(COUNTA(B1821)&gt;0,C5,"")</f>
        <v/>
      </c>
      <c r="AO1821" t="str">
        <f t="shared" si="29"/>
        <v/>
      </c>
    </row>
    <row r="1822" spans="1:41" x14ac:dyDescent="0.2">
      <c r="A1822" s="44" t="str">
        <f>IF(COUNTA(B1822)&gt;0,1814,"")</f>
        <v/>
      </c>
      <c r="G1822" s="25" t="str">
        <f t="shared" si="0"/>
        <v/>
      </c>
      <c r="N1822" s="44" t="str">
        <f>IF(COUNTA(B1822)&gt;0,C5,"")</f>
        <v/>
      </c>
      <c r="AO1822" t="str">
        <f t="shared" si="29"/>
        <v/>
      </c>
    </row>
    <row r="1823" spans="1:41" x14ac:dyDescent="0.2">
      <c r="A1823" s="44" t="str">
        <f>IF(COUNTA(B1823)&gt;0,1815,"")</f>
        <v/>
      </c>
      <c r="G1823" s="25" t="str">
        <f t="shared" si="0"/>
        <v/>
      </c>
      <c r="N1823" s="44" t="str">
        <f>IF(COUNTA(B1823)&gt;0,C5,"")</f>
        <v/>
      </c>
      <c r="AO1823" t="str">
        <f t="shared" si="29"/>
        <v/>
      </c>
    </row>
    <row r="1824" spans="1:41" x14ac:dyDescent="0.2">
      <c r="A1824" s="44" t="str">
        <f>IF(COUNTA(B1824)&gt;0,1816,"")</f>
        <v/>
      </c>
      <c r="G1824" s="25" t="str">
        <f t="shared" si="0"/>
        <v/>
      </c>
      <c r="N1824" s="44" t="str">
        <f>IF(COUNTA(B1824)&gt;0,C5,"")</f>
        <v/>
      </c>
      <c r="AO1824" t="str">
        <f t="shared" si="29"/>
        <v/>
      </c>
    </row>
    <row r="1825" spans="1:41" x14ac:dyDescent="0.2">
      <c r="A1825" s="44" t="str">
        <f>IF(COUNTA(B1825)&gt;0,1817,"")</f>
        <v/>
      </c>
      <c r="G1825" s="25" t="str">
        <f t="shared" si="0"/>
        <v/>
      </c>
      <c r="N1825" s="44" t="str">
        <f>IF(COUNTA(B1825)&gt;0,C5,"")</f>
        <v/>
      </c>
      <c r="AO1825" t="str">
        <f t="shared" si="29"/>
        <v/>
      </c>
    </row>
    <row r="1826" spans="1:41" x14ac:dyDescent="0.2">
      <c r="A1826" s="44" t="str">
        <f>IF(COUNTA(B1826)&gt;0,1818,"")</f>
        <v/>
      </c>
      <c r="G1826" s="25" t="str">
        <f t="shared" si="0"/>
        <v/>
      </c>
      <c r="N1826" s="44" t="str">
        <f>IF(COUNTA(B1826)&gt;0,C5,"")</f>
        <v/>
      </c>
      <c r="AO1826" t="str">
        <f t="shared" si="29"/>
        <v/>
      </c>
    </row>
    <row r="1827" spans="1:41" x14ac:dyDescent="0.2">
      <c r="A1827" s="44" t="str">
        <f>IF(COUNTA(B1827)&gt;0,1819,"")</f>
        <v/>
      </c>
      <c r="G1827" s="25" t="str">
        <f t="shared" si="0"/>
        <v/>
      </c>
      <c r="N1827" s="44" t="str">
        <f>IF(COUNTA(B1827)&gt;0,C5,"")</f>
        <v/>
      </c>
      <c r="AO1827" t="str">
        <f t="shared" si="29"/>
        <v/>
      </c>
    </row>
    <row r="1828" spans="1:41" x14ac:dyDescent="0.2">
      <c r="A1828" s="44" t="str">
        <f>IF(COUNTA(B1828)&gt;0,1820,"")</f>
        <v/>
      </c>
      <c r="G1828" s="25" t="str">
        <f t="shared" si="0"/>
        <v/>
      </c>
      <c r="N1828" s="44" t="str">
        <f>IF(COUNTA(B1828)&gt;0,C5,"")</f>
        <v/>
      </c>
      <c r="AO1828" t="str">
        <f t="shared" si="29"/>
        <v/>
      </c>
    </row>
    <row r="1829" spans="1:41" x14ac:dyDescent="0.2">
      <c r="A1829" s="44" t="str">
        <f>IF(COUNTA(B1829)&gt;0,1821,"")</f>
        <v/>
      </c>
      <c r="G1829" s="25" t="str">
        <f t="shared" si="0"/>
        <v/>
      </c>
      <c r="N1829" s="44" t="str">
        <f>IF(COUNTA(B1829)&gt;0,C5,"")</f>
        <v/>
      </c>
      <c r="AO1829" t="str">
        <f t="shared" si="29"/>
        <v/>
      </c>
    </row>
    <row r="1830" spans="1:41" x14ac:dyDescent="0.2">
      <c r="A1830" s="44" t="str">
        <f>IF(COUNTA(B1830)&gt;0,1822,"")</f>
        <v/>
      </c>
      <c r="G1830" s="25" t="str">
        <f t="shared" si="0"/>
        <v/>
      </c>
      <c r="N1830" s="44" t="str">
        <f>IF(COUNTA(B1830)&gt;0,C5,"")</f>
        <v/>
      </c>
      <c r="AO1830" t="str">
        <f t="shared" si="29"/>
        <v/>
      </c>
    </row>
    <row r="1831" spans="1:41" x14ac:dyDescent="0.2">
      <c r="A1831" s="44" t="str">
        <f>IF(COUNTA(B1831)&gt;0,1823,"")</f>
        <v/>
      </c>
      <c r="G1831" s="25" t="str">
        <f t="shared" si="0"/>
        <v/>
      </c>
      <c r="N1831" s="44" t="str">
        <f>IF(COUNTA(B1831)&gt;0,C5,"")</f>
        <v/>
      </c>
      <c r="AO1831" t="str">
        <f t="shared" si="29"/>
        <v/>
      </c>
    </row>
    <row r="1832" spans="1:41" x14ac:dyDescent="0.2">
      <c r="A1832" s="44" t="str">
        <f>IF(COUNTA(B1832)&gt;0,1824,"")</f>
        <v/>
      </c>
      <c r="G1832" s="25" t="str">
        <f t="shared" si="0"/>
        <v/>
      </c>
      <c r="N1832" s="44" t="str">
        <f>IF(COUNTA(B1832)&gt;0,C5,"")</f>
        <v/>
      </c>
      <c r="AO1832" t="str">
        <f t="shared" si="29"/>
        <v/>
      </c>
    </row>
    <row r="1833" spans="1:41" x14ac:dyDescent="0.2">
      <c r="A1833" s="44" t="str">
        <f>IF(COUNTA(B1833)&gt;0,1825,"")</f>
        <v/>
      </c>
      <c r="G1833" s="25" t="str">
        <f t="shared" si="0"/>
        <v/>
      </c>
      <c r="N1833" s="44" t="str">
        <f>IF(COUNTA(B1833)&gt;0,C5,"")</f>
        <v/>
      </c>
      <c r="AO1833" t="str">
        <f t="shared" si="29"/>
        <v/>
      </c>
    </row>
    <row r="1834" spans="1:41" x14ac:dyDescent="0.2">
      <c r="A1834" s="44" t="str">
        <f>IF(COUNTA(B1834)&gt;0,1826,"")</f>
        <v/>
      </c>
      <c r="G1834" s="25" t="str">
        <f t="shared" si="0"/>
        <v/>
      </c>
      <c r="N1834" s="44" t="str">
        <f>IF(COUNTA(B1834)&gt;0,C5,"")</f>
        <v/>
      </c>
      <c r="AO1834" t="str">
        <f t="shared" si="29"/>
        <v/>
      </c>
    </row>
    <row r="1835" spans="1:41" x14ac:dyDescent="0.2">
      <c r="A1835" s="44" t="str">
        <f>IF(COUNTA(B1835)&gt;0,1827,"")</f>
        <v/>
      </c>
      <c r="G1835" s="25" t="str">
        <f t="shared" si="0"/>
        <v/>
      </c>
      <c r="N1835" s="44" t="str">
        <f>IF(COUNTA(B1835)&gt;0,C5,"")</f>
        <v/>
      </c>
      <c r="AO1835" t="str">
        <f t="shared" si="29"/>
        <v/>
      </c>
    </row>
    <row r="1836" spans="1:41" x14ac:dyDescent="0.2">
      <c r="A1836" s="44" t="str">
        <f>IF(COUNTA(B1836)&gt;0,1828,"")</f>
        <v/>
      </c>
      <c r="G1836" s="25" t="str">
        <f t="shared" si="0"/>
        <v/>
      </c>
      <c r="N1836" s="44" t="str">
        <f>IF(COUNTA(B1836)&gt;0,C5,"")</f>
        <v/>
      </c>
      <c r="AO1836" t="str">
        <f t="shared" si="29"/>
        <v/>
      </c>
    </row>
    <row r="1837" spans="1:41" x14ac:dyDescent="0.2">
      <c r="A1837" s="44" t="str">
        <f>IF(COUNTA(B1837)&gt;0,1829,"")</f>
        <v/>
      </c>
      <c r="G1837" s="25" t="str">
        <f t="shared" si="0"/>
        <v/>
      </c>
      <c r="N1837" s="44" t="str">
        <f>IF(COUNTA(B1837)&gt;0,C5,"")</f>
        <v/>
      </c>
      <c r="AO1837" t="str">
        <f t="shared" si="29"/>
        <v/>
      </c>
    </row>
    <row r="1838" spans="1:41" x14ac:dyDescent="0.2">
      <c r="A1838" s="44" t="str">
        <f>IF(COUNTA(B1838)&gt;0,1830,"")</f>
        <v/>
      </c>
      <c r="G1838" s="25" t="str">
        <f t="shared" si="0"/>
        <v/>
      </c>
      <c r="N1838" s="44" t="str">
        <f>IF(COUNTA(B1838)&gt;0,C5,"")</f>
        <v/>
      </c>
      <c r="AO1838" t="str">
        <f t="shared" si="29"/>
        <v/>
      </c>
    </row>
    <row r="1839" spans="1:41" x14ac:dyDescent="0.2">
      <c r="A1839" s="44" t="str">
        <f>IF(COUNTA(B1839)&gt;0,1831,"")</f>
        <v/>
      </c>
      <c r="G1839" s="25" t="str">
        <f t="shared" si="0"/>
        <v/>
      </c>
      <c r="N1839" s="44" t="str">
        <f>IF(COUNTA(B1839)&gt;0,C5,"")</f>
        <v/>
      </c>
      <c r="AO1839" t="str">
        <f t="shared" si="29"/>
        <v/>
      </c>
    </row>
    <row r="1840" spans="1:41" x14ac:dyDescent="0.2">
      <c r="A1840" s="44" t="str">
        <f>IF(COUNTA(B1840)&gt;0,1832,"")</f>
        <v/>
      </c>
      <c r="G1840" s="25" t="str">
        <f t="shared" si="0"/>
        <v/>
      </c>
      <c r="N1840" s="44" t="str">
        <f>IF(COUNTA(B1840)&gt;0,C5,"")</f>
        <v/>
      </c>
      <c r="AO1840" t="str">
        <f t="shared" si="29"/>
        <v/>
      </c>
    </row>
    <row r="1841" spans="1:41" x14ac:dyDescent="0.2">
      <c r="A1841" s="44" t="str">
        <f>IF(COUNTA(B1841)&gt;0,1833,"")</f>
        <v/>
      </c>
      <c r="G1841" s="25" t="str">
        <f t="shared" si="0"/>
        <v/>
      </c>
      <c r="N1841" s="44" t="str">
        <f>IF(COUNTA(B1841)&gt;0,C5,"")</f>
        <v/>
      </c>
      <c r="AO1841" t="str">
        <f t="shared" si="29"/>
        <v/>
      </c>
    </row>
    <row r="1842" spans="1:41" x14ac:dyDescent="0.2">
      <c r="A1842" s="44" t="str">
        <f>IF(COUNTA(B1842)&gt;0,1834,"")</f>
        <v/>
      </c>
      <c r="G1842" s="25" t="str">
        <f t="shared" si="0"/>
        <v/>
      </c>
      <c r="N1842" s="44" t="str">
        <f>IF(COUNTA(B1842)&gt;0,C5,"")</f>
        <v/>
      </c>
      <c r="AO1842" t="str">
        <f t="shared" si="29"/>
        <v/>
      </c>
    </row>
    <row r="1843" spans="1:41" x14ac:dyDescent="0.2">
      <c r="A1843" s="44" t="str">
        <f>IF(COUNTA(B1843)&gt;0,1835,"")</f>
        <v/>
      </c>
      <c r="G1843" s="25" t="str">
        <f t="shared" si="0"/>
        <v/>
      </c>
      <c r="N1843" s="44" t="str">
        <f>IF(COUNTA(B1843)&gt;0,C5,"")</f>
        <v/>
      </c>
      <c r="AO1843" t="str">
        <f t="shared" si="29"/>
        <v/>
      </c>
    </row>
    <row r="1844" spans="1:41" x14ac:dyDescent="0.2">
      <c r="A1844" s="44" t="str">
        <f>IF(COUNTA(B1844)&gt;0,1836,"")</f>
        <v/>
      </c>
      <c r="G1844" s="25" t="str">
        <f t="shared" si="0"/>
        <v/>
      </c>
      <c r="N1844" s="44" t="str">
        <f>IF(COUNTA(B1844)&gt;0,C5,"")</f>
        <v/>
      </c>
      <c r="AO1844" t="str">
        <f t="shared" si="29"/>
        <v/>
      </c>
    </row>
    <row r="1845" spans="1:41" x14ac:dyDescent="0.2">
      <c r="A1845" s="44" t="str">
        <f>IF(COUNTA(B1845)&gt;0,1837,"")</f>
        <v/>
      </c>
      <c r="G1845" s="25" t="str">
        <f t="shared" si="0"/>
        <v/>
      </c>
      <c r="N1845" s="44" t="str">
        <f>IF(COUNTA(B1845)&gt;0,C5,"")</f>
        <v/>
      </c>
      <c r="AO1845" t="str">
        <f t="shared" si="29"/>
        <v/>
      </c>
    </row>
    <row r="1846" spans="1:41" x14ac:dyDescent="0.2">
      <c r="A1846" s="44" t="str">
        <f>IF(COUNTA(B1846)&gt;0,1838,"")</f>
        <v/>
      </c>
      <c r="G1846" s="25" t="str">
        <f t="shared" si="0"/>
        <v/>
      </c>
      <c r="N1846" s="44" t="str">
        <f>IF(COUNTA(B1846)&gt;0,C5,"")</f>
        <v/>
      </c>
      <c r="AO1846" t="str">
        <f t="shared" si="29"/>
        <v/>
      </c>
    </row>
    <row r="1847" spans="1:41" x14ac:dyDescent="0.2">
      <c r="A1847" s="44" t="str">
        <f>IF(COUNTA(B1847)&gt;0,1839,"")</f>
        <v/>
      </c>
      <c r="G1847" s="25" t="str">
        <f t="shared" si="0"/>
        <v/>
      </c>
      <c r="N1847" s="44" t="str">
        <f>IF(COUNTA(B1847)&gt;0,C5,"")</f>
        <v/>
      </c>
      <c r="AO1847" t="str">
        <f t="shared" si="29"/>
        <v/>
      </c>
    </row>
    <row r="1848" spans="1:41" x14ac:dyDescent="0.2">
      <c r="A1848" s="44" t="str">
        <f>IF(COUNTA(B1848)&gt;0,1840,"")</f>
        <v/>
      </c>
      <c r="G1848" s="25" t="str">
        <f t="shared" si="0"/>
        <v/>
      </c>
      <c r="N1848" s="44" t="str">
        <f>IF(COUNTA(B1848)&gt;0,C5,"")</f>
        <v/>
      </c>
      <c r="AO1848" t="str">
        <f t="shared" si="29"/>
        <v/>
      </c>
    </row>
    <row r="1849" spans="1:41" x14ac:dyDescent="0.2">
      <c r="A1849" s="44" t="str">
        <f>IF(COUNTA(B1849)&gt;0,1841,"")</f>
        <v/>
      </c>
      <c r="G1849" s="25" t="str">
        <f t="shared" si="0"/>
        <v/>
      </c>
      <c r="N1849" s="44" t="str">
        <f>IF(COUNTA(B1849)&gt;0,C5,"")</f>
        <v/>
      </c>
      <c r="AO1849" t="str">
        <f t="shared" si="29"/>
        <v/>
      </c>
    </row>
    <row r="1850" spans="1:41" x14ac:dyDescent="0.2">
      <c r="A1850" s="44" t="str">
        <f>IF(COUNTA(B1850)&gt;0,1842,"")</f>
        <v/>
      </c>
      <c r="G1850" s="25" t="str">
        <f t="shared" si="0"/>
        <v/>
      </c>
      <c r="N1850" s="44" t="str">
        <f>IF(COUNTA(B1850)&gt;0,C5,"")</f>
        <v/>
      </c>
      <c r="AO1850" t="str">
        <f t="shared" si="29"/>
        <v/>
      </c>
    </row>
    <row r="1851" spans="1:41" x14ac:dyDescent="0.2">
      <c r="A1851" s="44" t="str">
        <f>IF(COUNTA(B1851)&gt;0,1843,"")</f>
        <v/>
      </c>
      <c r="G1851" s="25" t="str">
        <f t="shared" si="0"/>
        <v/>
      </c>
      <c r="N1851" s="44" t="str">
        <f>IF(COUNTA(B1851)&gt;0,C5,"")</f>
        <v/>
      </c>
      <c r="AO1851" t="str">
        <f t="shared" si="29"/>
        <v/>
      </c>
    </row>
    <row r="1852" spans="1:41" x14ac:dyDescent="0.2">
      <c r="A1852" s="44" t="str">
        <f>IF(COUNTA(B1852)&gt;0,1844,"")</f>
        <v/>
      </c>
      <c r="G1852" s="25" t="str">
        <f t="shared" si="0"/>
        <v/>
      </c>
      <c r="N1852" s="44" t="str">
        <f>IF(COUNTA(B1852)&gt;0,C5,"")</f>
        <v/>
      </c>
      <c r="AO1852" t="str">
        <f t="shared" si="29"/>
        <v/>
      </c>
    </row>
    <row r="1853" spans="1:41" x14ac:dyDescent="0.2">
      <c r="A1853" s="44" t="str">
        <f>IF(COUNTA(B1853)&gt;0,1845,"")</f>
        <v/>
      </c>
      <c r="G1853" s="25" t="str">
        <f t="shared" si="0"/>
        <v/>
      </c>
      <c r="N1853" s="44" t="str">
        <f>IF(COUNTA(B1853)&gt;0,C5,"")</f>
        <v/>
      </c>
      <c r="AO1853" t="str">
        <f t="shared" si="29"/>
        <v/>
      </c>
    </row>
    <row r="1854" spans="1:41" x14ac:dyDescent="0.2">
      <c r="A1854" s="44" t="str">
        <f>IF(COUNTA(B1854)&gt;0,1846,"")</f>
        <v/>
      </c>
      <c r="G1854" s="25" t="str">
        <f t="shared" si="0"/>
        <v/>
      </c>
      <c r="N1854" s="44" t="str">
        <f>IF(COUNTA(B1854)&gt;0,C5,"")</f>
        <v/>
      </c>
      <c r="AO1854" t="str">
        <f t="shared" si="29"/>
        <v/>
      </c>
    </row>
    <row r="1855" spans="1:41" x14ac:dyDescent="0.2">
      <c r="A1855" s="44" t="str">
        <f>IF(COUNTA(B1855)&gt;0,1847,"")</f>
        <v/>
      </c>
      <c r="G1855" s="25" t="str">
        <f t="shared" si="0"/>
        <v/>
      </c>
      <c r="N1855" s="44" t="str">
        <f>IF(COUNTA(B1855)&gt;0,C5,"")</f>
        <v/>
      </c>
      <c r="AO1855" t="str">
        <f t="shared" si="29"/>
        <v/>
      </c>
    </row>
    <row r="1856" spans="1:41" x14ac:dyDescent="0.2">
      <c r="A1856" s="44" t="str">
        <f>IF(COUNTA(B1856)&gt;0,1848,"")</f>
        <v/>
      </c>
      <c r="G1856" s="25" t="str">
        <f t="shared" si="0"/>
        <v/>
      </c>
      <c r="N1856" s="44" t="str">
        <f>IF(COUNTA(B1856)&gt;0,C5,"")</f>
        <v/>
      </c>
      <c r="AO1856" t="str">
        <f t="shared" si="29"/>
        <v/>
      </c>
    </row>
    <row r="1857" spans="1:41" x14ac:dyDescent="0.2">
      <c r="A1857" s="44" t="str">
        <f>IF(COUNTA(B1857)&gt;0,1849,"")</f>
        <v/>
      </c>
      <c r="G1857" s="25" t="str">
        <f t="shared" si="0"/>
        <v/>
      </c>
      <c r="N1857" s="44" t="str">
        <f>IF(COUNTA(B1857)&gt;0,C5,"")</f>
        <v/>
      </c>
      <c r="AO1857" t="str">
        <f t="shared" si="29"/>
        <v/>
      </c>
    </row>
    <row r="1858" spans="1:41" x14ac:dyDescent="0.2">
      <c r="A1858" s="44" t="str">
        <f>IF(COUNTA(B1858)&gt;0,1850,"")</f>
        <v/>
      </c>
      <c r="G1858" s="25" t="str">
        <f t="shared" si="0"/>
        <v/>
      </c>
      <c r="N1858" s="44" t="str">
        <f>IF(COUNTA(B1858)&gt;0,C5,"")</f>
        <v/>
      </c>
      <c r="AO1858" t="str">
        <f t="shared" si="29"/>
        <v/>
      </c>
    </row>
    <row r="1859" spans="1:41" x14ac:dyDescent="0.2">
      <c r="A1859" s="44" t="str">
        <f>IF(COUNTA(B1859)&gt;0,1851,"")</f>
        <v/>
      </c>
      <c r="G1859" s="25" t="str">
        <f t="shared" si="0"/>
        <v/>
      </c>
      <c r="N1859" s="44" t="str">
        <f>IF(COUNTA(B1859)&gt;0,C5,"")</f>
        <v/>
      </c>
      <c r="AO1859" t="str">
        <f t="shared" si="29"/>
        <v/>
      </c>
    </row>
    <row r="1860" spans="1:41" x14ac:dyDescent="0.2">
      <c r="A1860" s="44" t="str">
        <f>IF(COUNTA(B1860)&gt;0,1852,"")</f>
        <v/>
      </c>
      <c r="G1860" s="25" t="str">
        <f t="shared" si="0"/>
        <v/>
      </c>
      <c r="N1860" s="44" t="str">
        <f>IF(COUNTA(B1860)&gt;0,C5,"")</f>
        <v/>
      </c>
      <c r="AO1860" t="str">
        <f t="shared" si="29"/>
        <v/>
      </c>
    </row>
    <row r="1861" spans="1:41" x14ac:dyDescent="0.2">
      <c r="A1861" s="44" t="str">
        <f>IF(COUNTA(B1861)&gt;0,1853,"")</f>
        <v/>
      </c>
      <c r="G1861" s="25" t="str">
        <f t="shared" si="0"/>
        <v/>
      </c>
      <c r="N1861" s="44" t="str">
        <f>IF(COUNTA(B1861)&gt;0,C5,"")</f>
        <v/>
      </c>
      <c r="AO1861" t="str">
        <f t="shared" si="29"/>
        <v/>
      </c>
    </row>
    <row r="1862" spans="1:41" x14ac:dyDescent="0.2">
      <c r="A1862" s="44" t="str">
        <f>IF(COUNTA(B1862)&gt;0,1854,"")</f>
        <v/>
      </c>
      <c r="G1862" s="25" t="str">
        <f t="shared" si="0"/>
        <v/>
      </c>
      <c r="N1862" s="44" t="str">
        <f>IF(COUNTA(B1862)&gt;0,C5,"")</f>
        <v/>
      </c>
      <c r="AO1862" t="str">
        <f t="shared" si="29"/>
        <v/>
      </c>
    </row>
    <row r="1863" spans="1:41" x14ac:dyDescent="0.2">
      <c r="A1863" s="44" t="str">
        <f>IF(COUNTA(B1863)&gt;0,1855,"")</f>
        <v/>
      </c>
      <c r="G1863" s="25" t="str">
        <f t="shared" si="0"/>
        <v/>
      </c>
      <c r="N1863" s="44" t="str">
        <f>IF(COUNTA(B1863)&gt;0,C5,"")</f>
        <v/>
      </c>
      <c r="AO1863" t="str">
        <f t="shared" si="29"/>
        <v/>
      </c>
    </row>
    <row r="1864" spans="1:41" x14ac:dyDescent="0.2">
      <c r="A1864" s="44" t="str">
        <f>IF(COUNTA(B1864)&gt;0,1856,"")</f>
        <v/>
      </c>
      <c r="G1864" s="25" t="str">
        <f t="shared" si="0"/>
        <v/>
      </c>
      <c r="N1864" s="44" t="str">
        <f>IF(COUNTA(B1864)&gt;0,C5,"")</f>
        <v/>
      </c>
      <c r="AO1864" t="str">
        <f t="shared" si="29"/>
        <v/>
      </c>
    </row>
    <row r="1865" spans="1:41" x14ac:dyDescent="0.2">
      <c r="A1865" s="44" t="str">
        <f>IF(COUNTA(B1865)&gt;0,1857,"")</f>
        <v/>
      </c>
      <c r="G1865" s="25" t="str">
        <f t="shared" si="0"/>
        <v/>
      </c>
      <c r="N1865" s="44" t="str">
        <f>IF(COUNTA(B1865)&gt;0,C5,"")</f>
        <v/>
      </c>
      <c r="AO1865" t="str">
        <f t="shared" ref="AO1865:AO1928" si="30">IF(COUNTA(L1865:M1865)&lt;&gt;0,"Có",IF(COUNTA(B1865)&gt;0,"Không",""))</f>
        <v/>
      </c>
    </row>
    <row r="1866" spans="1:41" x14ac:dyDescent="0.2">
      <c r="A1866" s="44" t="str">
        <f>IF(COUNTA(B1866)&gt;0,1858,"")</f>
        <v/>
      </c>
      <c r="G1866" s="25" t="str">
        <f t="shared" si="0"/>
        <v/>
      </c>
      <c r="N1866" s="44" t="str">
        <f>IF(COUNTA(B1866)&gt;0,C5,"")</f>
        <v/>
      </c>
      <c r="AO1866" t="str">
        <f t="shared" si="30"/>
        <v/>
      </c>
    </row>
    <row r="1867" spans="1:41" x14ac:dyDescent="0.2">
      <c r="A1867" s="44" t="str">
        <f>IF(COUNTA(B1867)&gt;0,1859,"")</f>
        <v/>
      </c>
      <c r="G1867" s="25" t="str">
        <f t="shared" si="0"/>
        <v/>
      </c>
      <c r="N1867" s="44" t="str">
        <f>IF(COUNTA(B1867)&gt;0,C5,"")</f>
        <v/>
      </c>
      <c r="AO1867" t="str">
        <f t="shared" si="30"/>
        <v/>
      </c>
    </row>
    <row r="1868" spans="1:41" x14ac:dyDescent="0.2">
      <c r="A1868" s="44" t="str">
        <f>IF(COUNTA(B1868)&gt;0,1860,"")</f>
        <v/>
      </c>
      <c r="G1868" s="25" t="str">
        <f t="shared" si="0"/>
        <v/>
      </c>
      <c r="N1868" s="44" t="str">
        <f>IF(COUNTA(B1868)&gt;0,C5,"")</f>
        <v/>
      </c>
      <c r="AO1868" t="str">
        <f t="shared" si="30"/>
        <v/>
      </c>
    </row>
    <row r="1869" spans="1:41" x14ac:dyDescent="0.2">
      <c r="A1869" s="44" t="str">
        <f>IF(COUNTA(B1869)&gt;0,1861,"")</f>
        <v/>
      </c>
      <c r="G1869" s="25" t="str">
        <f t="shared" si="0"/>
        <v/>
      </c>
      <c r="N1869" s="44" t="str">
        <f>IF(COUNTA(B1869)&gt;0,C5,"")</f>
        <v/>
      </c>
      <c r="AO1869" t="str">
        <f t="shared" si="30"/>
        <v/>
      </c>
    </row>
    <row r="1870" spans="1:41" x14ac:dyDescent="0.2">
      <c r="A1870" s="44" t="str">
        <f>IF(COUNTA(B1870)&gt;0,1862,"")</f>
        <v/>
      </c>
      <c r="G1870" s="25" t="str">
        <f t="shared" si="0"/>
        <v/>
      </c>
      <c r="N1870" s="44" t="str">
        <f>IF(COUNTA(B1870)&gt;0,C5,"")</f>
        <v/>
      </c>
      <c r="AO1870" t="str">
        <f t="shared" si="30"/>
        <v/>
      </c>
    </row>
    <row r="1871" spans="1:41" x14ac:dyDescent="0.2">
      <c r="A1871" s="44" t="str">
        <f>IF(COUNTA(B1871)&gt;0,1863,"")</f>
        <v/>
      </c>
      <c r="G1871" s="25" t="str">
        <f t="shared" si="0"/>
        <v/>
      </c>
      <c r="N1871" s="44" t="str">
        <f>IF(COUNTA(B1871)&gt;0,C5,"")</f>
        <v/>
      </c>
      <c r="AO1871" t="str">
        <f t="shared" si="30"/>
        <v/>
      </c>
    </row>
    <row r="1872" spans="1:41" x14ac:dyDescent="0.2">
      <c r="A1872" s="44" t="str">
        <f>IF(COUNTA(B1872)&gt;0,1864,"")</f>
        <v/>
      </c>
      <c r="G1872" s="25" t="str">
        <f t="shared" si="0"/>
        <v/>
      </c>
      <c r="N1872" s="44" t="str">
        <f>IF(COUNTA(B1872)&gt;0,C5,"")</f>
        <v/>
      </c>
      <c r="AO1872" t="str">
        <f t="shared" si="30"/>
        <v/>
      </c>
    </row>
    <row r="1873" spans="1:41" x14ac:dyDescent="0.2">
      <c r="A1873" s="44" t="str">
        <f>IF(COUNTA(B1873)&gt;0,1865,"")</f>
        <v/>
      </c>
      <c r="G1873" s="25" t="str">
        <f t="shared" si="0"/>
        <v/>
      </c>
      <c r="N1873" s="44" t="str">
        <f>IF(COUNTA(B1873)&gt;0,C5,"")</f>
        <v/>
      </c>
      <c r="AO1873" t="str">
        <f t="shared" si="30"/>
        <v/>
      </c>
    </row>
    <row r="1874" spans="1:41" x14ac:dyDescent="0.2">
      <c r="A1874" s="44" t="str">
        <f>IF(COUNTA(B1874)&gt;0,1866,"")</f>
        <v/>
      </c>
      <c r="G1874" s="25" t="str">
        <f t="shared" si="0"/>
        <v/>
      </c>
      <c r="N1874" s="44" t="str">
        <f>IF(COUNTA(B1874)&gt;0,C5,"")</f>
        <v/>
      </c>
      <c r="AO1874" t="str">
        <f t="shared" si="30"/>
        <v/>
      </c>
    </row>
    <row r="1875" spans="1:41" x14ac:dyDescent="0.2">
      <c r="A1875" s="44" t="str">
        <f>IF(COUNTA(B1875)&gt;0,1867,"")</f>
        <v/>
      </c>
      <c r="G1875" s="25" t="str">
        <f t="shared" si="0"/>
        <v/>
      </c>
      <c r="N1875" s="44" t="str">
        <f>IF(COUNTA(B1875)&gt;0,C5,"")</f>
        <v/>
      </c>
      <c r="AO1875" t="str">
        <f t="shared" si="30"/>
        <v/>
      </c>
    </row>
    <row r="1876" spans="1:41" x14ac:dyDescent="0.2">
      <c r="A1876" s="44" t="str">
        <f>IF(COUNTA(B1876)&gt;0,1868,"")</f>
        <v/>
      </c>
      <c r="G1876" s="25" t="str">
        <f t="shared" si="0"/>
        <v/>
      </c>
      <c r="N1876" s="44" t="str">
        <f>IF(COUNTA(B1876)&gt;0,C5,"")</f>
        <v/>
      </c>
      <c r="AO1876" t="str">
        <f t="shared" si="30"/>
        <v/>
      </c>
    </row>
    <row r="1877" spans="1:41" x14ac:dyDescent="0.2">
      <c r="A1877" s="44" t="str">
        <f>IF(COUNTA(B1877)&gt;0,1869,"")</f>
        <v/>
      </c>
      <c r="G1877" s="25" t="str">
        <f t="shared" si="0"/>
        <v/>
      </c>
      <c r="N1877" s="44" t="str">
        <f>IF(COUNTA(B1877)&gt;0,C5,"")</f>
        <v/>
      </c>
      <c r="AO1877" t="str">
        <f t="shared" si="30"/>
        <v/>
      </c>
    </row>
    <row r="1878" spans="1:41" x14ac:dyDescent="0.2">
      <c r="A1878" s="44" t="str">
        <f>IF(COUNTA(B1878)&gt;0,1870,"")</f>
        <v/>
      </c>
      <c r="G1878" s="25" t="str">
        <f t="shared" si="0"/>
        <v/>
      </c>
      <c r="N1878" s="44" t="str">
        <f>IF(COUNTA(B1878)&gt;0,C5,"")</f>
        <v/>
      </c>
      <c r="AO1878" t="str">
        <f t="shared" si="30"/>
        <v/>
      </c>
    </row>
    <row r="1879" spans="1:41" x14ac:dyDescent="0.2">
      <c r="A1879" s="44" t="str">
        <f>IF(COUNTA(B1879)&gt;0,1871,"")</f>
        <v/>
      </c>
      <c r="G1879" s="25" t="str">
        <f t="shared" si="0"/>
        <v/>
      </c>
      <c r="N1879" s="44" t="str">
        <f>IF(COUNTA(B1879)&gt;0,C5,"")</f>
        <v/>
      </c>
      <c r="AO1879" t="str">
        <f t="shared" si="30"/>
        <v/>
      </c>
    </row>
    <row r="1880" spans="1:41" x14ac:dyDescent="0.2">
      <c r="A1880" s="44" t="str">
        <f>IF(COUNTA(B1880)&gt;0,1872,"")</f>
        <v/>
      </c>
      <c r="G1880" s="25" t="str">
        <f t="shared" si="0"/>
        <v/>
      </c>
      <c r="N1880" s="44" t="str">
        <f>IF(COUNTA(B1880)&gt;0,C5,"")</f>
        <v/>
      </c>
      <c r="AO1880" t="str">
        <f t="shared" si="30"/>
        <v/>
      </c>
    </row>
    <row r="1881" spans="1:41" x14ac:dyDescent="0.2">
      <c r="A1881" s="44" t="str">
        <f>IF(COUNTA(B1881)&gt;0,1873,"")</f>
        <v/>
      </c>
      <c r="G1881" s="25" t="str">
        <f t="shared" si="0"/>
        <v/>
      </c>
      <c r="N1881" s="44" t="str">
        <f>IF(COUNTA(B1881)&gt;0,C5,"")</f>
        <v/>
      </c>
      <c r="AO1881" t="str">
        <f t="shared" si="30"/>
        <v/>
      </c>
    </row>
    <row r="1882" spans="1:41" x14ac:dyDescent="0.2">
      <c r="A1882" s="44" t="str">
        <f>IF(COUNTA(B1882)&gt;0,1874,"")</f>
        <v/>
      </c>
      <c r="G1882" s="25" t="str">
        <f t="shared" si="0"/>
        <v/>
      </c>
      <c r="N1882" s="44" t="str">
        <f>IF(COUNTA(B1882)&gt;0,C5,"")</f>
        <v/>
      </c>
      <c r="AO1882" t="str">
        <f t="shared" si="30"/>
        <v/>
      </c>
    </row>
    <row r="1883" spans="1:41" x14ac:dyDescent="0.2">
      <c r="A1883" s="44" t="str">
        <f>IF(COUNTA(B1883)&gt;0,1875,"")</f>
        <v/>
      </c>
      <c r="G1883" s="25" t="str">
        <f t="shared" si="0"/>
        <v/>
      </c>
      <c r="N1883" s="44" t="str">
        <f>IF(COUNTA(B1883)&gt;0,C5,"")</f>
        <v/>
      </c>
      <c r="AO1883" t="str">
        <f t="shared" si="30"/>
        <v/>
      </c>
    </row>
    <row r="1884" spans="1:41" x14ac:dyDescent="0.2">
      <c r="A1884" s="44" t="str">
        <f>IF(COUNTA(B1884)&gt;0,1876,"")</f>
        <v/>
      </c>
      <c r="G1884" s="25" t="str">
        <f t="shared" si="0"/>
        <v/>
      </c>
      <c r="N1884" s="44" t="str">
        <f>IF(COUNTA(B1884)&gt;0,C5,"")</f>
        <v/>
      </c>
      <c r="AO1884" t="str">
        <f t="shared" si="30"/>
        <v/>
      </c>
    </row>
    <row r="1885" spans="1:41" x14ac:dyDescent="0.2">
      <c r="A1885" s="44" t="str">
        <f>IF(COUNTA(B1885)&gt;0,1877,"")</f>
        <v/>
      </c>
      <c r="G1885" s="25" t="str">
        <f t="shared" si="0"/>
        <v/>
      </c>
      <c r="N1885" s="44" t="str">
        <f>IF(COUNTA(B1885)&gt;0,C5,"")</f>
        <v/>
      </c>
      <c r="AO1885" t="str">
        <f t="shared" si="30"/>
        <v/>
      </c>
    </row>
    <row r="1886" spans="1:41" x14ac:dyDescent="0.2">
      <c r="A1886" s="44" t="str">
        <f>IF(COUNTA(B1886)&gt;0,1878,"")</f>
        <v/>
      </c>
      <c r="G1886" s="25" t="str">
        <f t="shared" si="0"/>
        <v/>
      </c>
      <c r="N1886" s="44" t="str">
        <f>IF(COUNTA(B1886)&gt;0,C5,"")</f>
        <v/>
      </c>
      <c r="AO1886" t="str">
        <f t="shared" si="30"/>
        <v/>
      </c>
    </row>
    <row r="1887" spans="1:41" x14ac:dyDescent="0.2">
      <c r="A1887" s="44" t="str">
        <f>IF(COUNTA(B1887)&gt;0,1879,"")</f>
        <v/>
      </c>
      <c r="G1887" s="25" t="str">
        <f t="shared" si="0"/>
        <v/>
      </c>
      <c r="N1887" s="44" t="str">
        <f>IF(COUNTA(B1887)&gt;0,C5,"")</f>
        <v/>
      </c>
      <c r="AO1887" t="str">
        <f t="shared" si="30"/>
        <v/>
      </c>
    </row>
    <row r="1888" spans="1:41" x14ac:dyDescent="0.2">
      <c r="A1888" s="44" t="str">
        <f>IF(COUNTA(B1888)&gt;0,1880,"")</f>
        <v/>
      </c>
      <c r="G1888" s="25" t="str">
        <f t="shared" si="0"/>
        <v/>
      </c>
      <c r="N1888" s="44" t="str">
        <f>IF(COUNTA(B1888)&gt;0,C5,"")</f>
        <v/>
      </c>
      <c r="AO1888" t="str">
        <f t="shared" si="30"/>
        <v/>
      </c>
    </row>
    <row r="1889" spans="1:41" x14ac:dyDescent="0.2">
      <c r="A1889" s="44" t="str">
        <f>IF(COUNTA(B1889)&gt;0,1881,"")</f>
        <v/>
      </c>
      <c r="G1889" s="25" t="str">
        <f t="shared" si="0"/>
        <v/>
      </c>
      <c r="N1889" s="44" t="str">
        <f>IF(COUNTA(B1889)&gt;0,C5,"")</f>
        <v/>
      </c>
      <c r="AO1889" t="str">
        <f t="shared" si="30"/>
        <v/>
      </c>
    </row>
    <row r="1890" spans="1:41" x14ac:dyDescent="0.2">
      <c r="A1890" s="44" t="str">
        <f>IF(COUNTA(B1890)&gt;0,1882,"")</f>
        <v/>
      </c>
      <c r="G1890" s="25" t="str">
        <f t="shared" si="0"/>
        <v/>
      </c>
      <c r="N1890" s="44" t="str">
        <f>IF(COUNTA(B1890)&gt;0,C5,"")</f>
        <v/>
      </c>
      <c r="AO1890" t="str">
        <f t="shared" si="30"/>
        <v/>
      </c>
    </row>
    <row r="1891" spans="1:41" x14ac:dyDescent="0.2">
      <c r="A1891" s="44" t="str">
        <f>IF(COUNTA(B1891)&gt;0,1883,"")</f>
        <v/>
      </c>
      <c r="G1891" s="25" t="str">
        <f t="shared" si="0"/>
        <v/>
      </c>
      <c r="N1891" s="44" t="str">
        <f>IF(COUNTA(B1891)&gt;0,C5,"")</f>
        <v/>
      </c>
      <c r="AO1891" t="str">
        <f t="shared" si="30"/>
        <v/>
      </c>
    </row>
    <row r="1892" spans="1:41" x14ac:dyDescent="0.2">
      <c r="A1892" s="44" t="str">
        <f>IF(COUNTA(B1892)&gt;0,1884,"")</f>
        <v/>
      </c>
      <c r="G1892" s="25" t="str">
        <f t="shared" si="0"/>
        <v/>
      </c>
      <c r="N1892" s="44" t="str">
        <f>IF(COUNTA(B1892)&gt;0,C5,"")</f>
        <v/>
      </c>
      <c r="AO1892" t="str">
        <f t="shared" si="30"/>
        <v/>
      </c>
    </row>
    <row r="1893" spans="1:41" x14ac:dyDescent="0.2">
      <c r="A1893" s="44" t="str">
        <f>IF(COUNTA(B1893)&gt;0,1885,"")</f>
        <v/>
      </c>
      <c r="G1893" s="25" t="str">
        <f t="shared" si="0"/>
        <v/>
      </c>
      <c r="N1893" s="44" t="str">
        <f>IF(COUNTA(B1893)&gt;0,C5,"")</f>
        <v/>
      </c>
      <c r="AO1893" t="str">
        <f t="shared" si="30"/>
        <v/>
      </c>
    </row>
    <row r="1894" spans="1:41" x14ac:dyDescent="0.2">
      <c r="A1894" s="44" t="str">
        <f>IF(COUNTA(B1894)&gt;0,1886,"")</f>
        <v/>
      </c>
      <c r="G1894" s="25" t="str">
        <f t="shared" si="0"/>
        <v/>
      </c>
      <c r="N1894" s="44" t="str">
        <f>IF(COUNTA(B1894)&gt;0,C5,"")</f>
        <v/>
      </c>
      <c r="AO1894" t="str">
        <f t="shared" si="30"/>
        <v/>
      </c>
    </row>
    <row r="1895" spans="1:41" x14ac:dyDescent="0.2">
      <c r="A1895" s="44" t="str">
        <f>IF(COUNTA(B1895)&gt;0,1887,"")</f>
        <v/>
      </c>
      <c r="G1895" s="25" t="str">
        <f t="shared" si="0"/>
        <v/>
      </c>
      <c r="N1895" s="44" t="str">
        <f>IF(COUNTA(B1895)&gt;0,C5,"")</f>
        <v/>
      </c>
      <c r="AO1895" t="str">
        <f t="shared" si="30"/>
        <v/>
      </c>
    </row>
    <row r="1896" spans="1:41" x14ac:dyDescent="0.2">
      <c r="A1896" s="44" t="str">
        <f>IF(COUNTA(B1896)&gt;0,1888,"")</f>
        <v/>
      </c>
      <c r="G1896" s="25" t="str">
        <f t="shared" si="0"/>
        <v/>
      </c>
      <c r="N1896" s="44" t="str">
        <f>IF(COUNTA(B1896)&gt;0,C5,"")</f>
        <v/>
      </c>
      <c r="AO1896" t="str">
        <f t="shared" si="30"/>
        <v/>
      </c>
    </row>
    <row r="1897" spans="1:41" x14ac:dyDescent="0.2">
      <c r="A1897" s="44" t="str">
        <f>IF(COUNTA(B1897)&gt;0,1889,"")</f>
        <v/>
      </c>
      <c r="G1897" s="25" t="str">
        <f t="shared" si="0"/>
        <v/>
      </c>
      <c r="N1897" s="44" t="str">
        <f>IF(COUNTA(B1897)&gt;0,C5,"")</f>
        <v/>
      </c>
      <c r="AO1897" t="str">
        <f t="shared" si="30"/>
        <v/>
      </c>
    </row>
    <row r="1898" spans="1:41" x14ac:dyDescent="0.2">
      <c r="A1898" s="44" t="str">
        <f>IF(COUNTA(B1898)&gt;0,1890,"")</f>
        <v/>
      </c>
      <c r="G1898" s="25" t="str">
        <f t="shared" si="0"/>
        <v/>
      </c>
      <c r="N1898" s="44" t="str">
        <f>IF(COUNTA(B1898)&gt;0,C5,"")</f>
        <v/>
      </c>
      <c r="AO1898" t="str">
        <f t="shared" si="30"/>
        <v/>
      </c>
    </row>
    <row r="1899" spans="1:41" x14ac:dyDescent="0.2">
      <c r="A1899" s="44" t="str">
        <f>IF(COUNTA(B1899)&gt;0,1891,"")</f>
        <v/>
      </c>
      <c r="G1899" s="25" t="str">
        <f t="shared" si="0"/>
        <v/>
      </c>
      <c r="N1899" s="44" t="str">
        <f>IF(COUNTA(B1899)&gt;0,C5,"")</f>
        <v/>
      </c>
      <c r="AO1899" t="str">
        <f t="shared" si="30"/>
        <v/>
      </c>
    </row>
    <row r="1900" spans="1:41" x14ac:dyDescent="0.2">
      <c r="A1900" s="44" t="str">
        <f>IF(COUNTA(B1900)&gt;0,1892,"")</f>
        <v/>
      </c>
      <c r="G1900" s="25" t="str">
        <f t="shared" si="0"/>
        <v/>
      </c>
      <c r="N1900" s="44" t="str">
        <f>IF(COUNTA(B1900)&gt;0,C5,"")</f>
        <v/>
      </c>
      <c r="AO1900" t="str">
        <f t="shared" si="30"/>
        <v/>
      </c>
    </row>
    <row r="1901" spans="1:41" x14ac:dyDescent="0.2">
      <c r="A1901" s="44" t="str">
        <f>IF(COUNTA(B1901)&gt;0,1893,"")</f>
        <v/>
      </c>
      <c r="G1901" s="25" t="str">
        <f t="shared" si="0"/>
        <v/>
      </c>
      <c r="N1901" s="44" t="str">
        <f>IF(COUNTA(B1901)&gt;0,C5,"")</f>
        <v/>
      </c>
      <c r="AO1901" t="str">
        <f t="shared" si="30"/>
        <v/>
      </c>
    </row>
    <row r="1902" spans="1:41" x14ac:dyDescent="0.2">
      <c r="A1902" s="44" t="str">
        <f>IF(COUNTA(B1902)&gt;0,1894,"")</f>
        <v/>
      </c>
      <c r="G1902" s="25" t="str">
        <f t="shared" si="0"/>
        <v/>
      </c>
      <c r="N1902" s="44" t="str">
        <f>IF(COUNTA(B1902)&gt;0,C5,"")</f>
        <v/>
      </c>
      <c r="AO1902" t="str">
        <f t="shared" si="30"/>
        <v/>
      </c>
    </row>
    <row r="1903" spans="1:41" x14ac:dyDescent="0.2">
      <c r="A1903" s="44" t="str">
        <f>IF(COUNTA(B1903)&gt;0,1895,"")</f>
        <v/>
      </c>
      <c r="G1903" s="25" t="str">
        <f t="shared" si="0"/>
        <v/>
      </c>
      <c r="N1903" s="44" t="str">
        <f>IF(COUNTA(B1903)&gt;0,C5,"")</f>
        <v/>
      </c>
      <c r="AO1903" t="str">
        <f t="shared" si="30"/>
        <v/>
      </c>
    </row>
    <row r="1904" spans="1:41" x14ac:dyDescent="0.2">
      <c r="A1904" s="44" t="str">
        <f>IF(COUNTA(B1904)&gt;0,1896,"")</f>
        <v/>
      </c>
      <c r="G1904" s="25" t="str">
        <f t="shared" si="0"/>
        <v/>
      </c>
      <c r="N1904" s="44" t="str">
        <f>IF(COUNTA(B1904)&gt;0,C5,"")</f>
        <v/>
      </c>
      <c r="AO1904" t="str">
        <f t="shared" si="30"/>
        <v/>
      </c>
    </row>
    <row r="1905" spans="1:41" x14ac:dyDescent="0.2">
      <c r="A1905" s="44" t="str">
        <f>IF(COUNTA(B1905)&gt;0,1897,"")</f>
        <v/>
      </c>
      <c r="G1905" s="25" t="str">
        <f t="shared" si="0"/>
        <v/>
      </c>
      <c r="N1905" s="44" t="str">
        <f>IF(COUNTA(B1905)&gt;0,C5,"")</f>
        <v/>
      </c>
      <c r="AO1905" t="str">
        <f t="shared" si="30"/>
        <v/>
      </c>
    </row>
    <row r="1906" spans="1:41" x14ac:dyDescent="0.2">
      <c r="A1906" s="44" t="str">
        <f>IF(COUNTA(B1906)&gt;0,1898,"")</f>
        <v/>
      </c>
      <c r="G1906" s="25" t="str">
        <f t="shared" si="0"/>
        <v/>
      </c>
      <c r="N1906" s="44" t="str">
        <f>IF(COUNTA(B1906)&gt;0,C5,"")</f>
        <v/>
      </c>
      <c r="AO1906" t="str">
        <f t="shared" si="30"/>
        <v/>
      </c>
    </row>
    <row r="1907" spans="1:41" x14ac:dyDescent="0.2">
      <c r="A1907" s="44" t="str">
        <f>IF(COUNTA(B1907)&gt;0,1899,"")</f>
        <v/>
      </c>
      <c r="G1907" s="25" t="str">
        <f t="shared" si="0"/>
        <v/>
      </c>
      <c r="N1907" s="44" t="str">
        <f>IF(COUNTA(B1907)&gt;0,C5,"")</f>
        <v/>
      </c>
      <c r="AO1907" t="str">
        <f t="shared" si="30"/>
        <v/>
      </c>
    </row>
    <row r="1908" spans="1:41" x14ac:dyDescent="0.2">
      <c r="A1908" s="44" t="str">
        <f>IF(COUNTA(B1908)&gt;0,1900,"")</f>
        <v/>
      </c>
      <c r="G1908" s="25" t="str">
        <f t="shared" si="0"/>
        <v/>
      </c>
      <c r="N1908" s="44" t="str">
        <f>IF(COUNTA(B1908)&gt;0,C5,"")</f>
        <v/>
      </c>
      <c r="AO1908" t="str">
        <f t="shared" si="30"/>
        <v/>
      </c>
    </row>
    <row r="1909" spans="1:41" x14ac:dyDescent="0.2">
      <c r="A1909" s="44" t="str">
        <f>IF(COUNTA(B1909)&gt;0,1901,"")</f>
        <v/>
      </c>
      <c r="G1909" s="25" t="str">
        <f t="shared" si="0"/>
        <v/>
      </c>
      <c r="N1909" s="44" t="str">
        <f>IF(COUNTA(B1909)&gt;0,C5,"")</f>
        <v/>
      </c>
      <c r="AO1909" t="str">
        <f t="shared" si="30"/>
        <v/>
      </c>
    </row>
    <row r="1910" spans="1:41" x14ac:dyDescent="0.2">
      <c r="A1910" s="44" t="str">
        <f>IF(COUNTA(B1910)&gt;0,1902,"")</f>
        <v/>
      </c>
      <c r="G1910" s="25" t="str">
        <f t="shared" si="0"/>
        <v/>
      </c>
      <c r="N1910" s="44" t="str">
        <f>IF(COUNTA(B1910)&gt;0,C5,"")</f>
        <v/>
      </c>
      <c r="AO1910" t="str">
        <f t="shared" si="30"/>
        <v/>
      </c>
    </row>
    <row r="1911" spans="1:41" x14ac:dyDescent="0.2">
      <c r="A1911" s="44" t="str">
        <f>IF(COUNTA(B1911)&gt;0,1903,"")</f>
        <v/>
      </c>
      <c r="G1911" s="25" t="str">
        <f t="shared" si="0"/>
        <v/>
      </c>
      <c r="N1911" s="44" t="str">
        <f>IF(COUNTA(B1911)&gt;0,C5,"")</f>
        <v/>
      </c>
      <c r="AO1911" t="str">
        <f t="shared" si="30"/>
        <v/>
      </c>
    </row>
    <row r="1912" spans="1:41" x14ac:dyDescent="0.2">
      <c r="A1912" s="44" t="str">
        <f>IF(COUNTA(B1912)&gt;0,1904,"")</f>
        <v/>
      </c>
      <c r="G1912" s="25" t="str">
        <f t="shared" si="0"/>
        <v/>
      </c>
      <c r="N1912" s="44" t="str">
        <f>IF(COUNTA(B1912)&gt;0,C5,"")</f>
        <v/>
      </c>
      <c r="AO1912" t="str">
        <f t="shared" si="30"/>
        <v/>
      </c>
    </row>
    <row r="1913" spans="1:41" x14ac:dyDescent="0.2">
      <c r="A1913" s="44" t="str">
        <f>IF(COUNTA(B1913)&gt;0,1905,"")</f>
        <v/>
      </c>
      <c r="G1913" s="25" t="str">
        <f t="shared" si="0"/>
        <v/>
      </c>
      <c r="N1913" s="44" t="str">
        <f>IF(COUNTA(B1913)&gt;0,C5,"")</f>
        <v/>
      </c>
      <c r="AO1913" t="str">
        <f t="shared" si="30"/>
        <v/>
      </c>
    </row>
    <row r="1914" spans="1:41" x14ac:dyDescent="0.2">
      <c r="A1914" s="44" t="str">
        <f>IF(COUNTA(B1914)&gt;0,1906,"")</f>
        <v/>
      </c>
      <c r="G1914" s="25" t="str">
        <f t="shared" si="0"/>
        <v/>
      </c>
      <c r="N1914" s="44" t="str">
        <f>IF(COUNTA(B1914)&gt;0,C5,"")</f>
        <v/>
      </c>
      <c r="AO1914" t="str">
        <f t="shared" si="30"/>
        <v/>
      </c>
    </row>
    <row r="1915" spans="1:41" x14ac:dyDescent="0.2">
      <c r="A1915" s="44" t="str">
        <f>IF(COUNTA(B1915)&gt;0,1907,"")</f>
        <v/>
      </c>
      <c r="G1915" s="25" t="str">
        <f t="shared" si="0"/>
        <v/>
      </c>
      <c r="N1915" s="44" t="str">
        <f>IF(COUNTA(B1915)&gt;0,C5,"")</f>
        <v/>
      </c>
      <c r="AO1915" t="str">
        <f t="shared" si="30"/>
        <v/>
      </c>
    </row>
    <row r="1916" spans="1:41" x14ac:dyDescent="0.2">
      <c r="A1916" s="44" t="str">
        <f>IF(COUNTA(B1916)&gt;0,1908,"")</f>
        <v/>
      </c>
      <c r="G1916" s="25" t="str">
        <f t="shared" si="0"/>
        <v/>
      </c>
      <c r="N1916" s="44" t="str">
        <f>IF(COUNTA(B1916)&gt;0,C5,"")</f>
        <v/>
      </c>
      <c r="AO1916" t="str">
        <f t="shared" si="30"/>
        <v/>
      </c>
    </row>
    <row r="1917" spans="1:41" x14ac:dyDescent="0.2">
      <c r="A1917" s="44" t="str">
        <f>IF(COUNTA(B1917)&gt;0,1909,"")</f>
        <v/>
      </c>
      <c r="G1917" s="25" t="str">
        <f t="shared" si="0"/>
        <v/>
      </c>
      <c r="N1917" s="44" t="str">
        <f>IF(COUNTA(B1917)&gt;0,C5,"")</f>
        <v/>
      </c>
      <c r="AO1917" t="str">
        <f t="shared" si="30"/>
        <v/>
      </c>
    </row>
    <row r="1918" spans="1:41" x14ac:dyDescent="0.2">
      <c r="A1918" s="44" t="str">
        <f>IF(COUNTA(B1918)&gt;0,1910,"")</f>
        <v/>
      </c>
      <c r="G1918" s="25" t="str">
        <f t="shared" si="0"/>
        <v/>
      </c>
      <c r="N1918" s="44" t="str">
        <f>IF(COUNTA(B1918)&gt;0,C5,"")</f>
        <v/>
      </c>
      <c r="AO1918" t="str">
        <f t="shared" si="30"/>
        <v/>
      </c>
    </row>
    <row r="1919" spans="1:41" x14ac:dyDescent="0.2">
      <c r="A1919" s="44" t="str">
        <f>IF(COUNTA(B1919)&gt;0,1911,"")</f>
        <v/>
      </c>
      <c r="G1919" s="25" t="str">
        <f t="shared" si="0"/>
        <v/>
      </c>
      <c r="N1919" s="44" t="str">
        <f>IF(COUNTA(B1919)&gt;0,C5,"")</f>
        <v/>
      </c>
      <c r="AO1919" t="str">
        <f t="shared" si="30"/>
        <v/>
      </c>
    </row>
    <row r="1920" spans="1:41" x14ac:dyDescent="0.2">
      <c r="A1920" s="44" t="str">
        <f>IF(COUNTA(B1920)&gt;0,1912,"")</f>
        <v/>
      </c>
      <c r="G1920" s="25" t="str">
        <f t="shared" si="0"/>
        <v/>
      </c>
      <c r="N1920" s="44" t="str">
        <f>IF(COUNTA(B1920)&gt;0,C5,"")</f>
        <v/>
      </c>
      <c r="AO1920" t="str">
        <f t="shared" si="30"/>
        <v/>
      </c>
    </row>
    <row r="1921" spans="1:41" x14ac:dyDescent="0.2">
      <c r="A1921" s="44" t="str">
        <f>IF(COUNTA(B1921)&gt;0,1913,"")</f>
        <v/>
      </c>
      <c r="G1921" s="25" t="str">
        <f t="shared" si="0"/>
        <v/>
      </c>
      <c r="N1921" s="44" t="str">
        <f>IF(COUNTA(B1921)&gt;0,C5,"")</f>
        <v/>
      </c>
      <c r="AO1921" t="str">
        <f t="shared" si="30"/>
        <v/>
      </c>
    </row>
    <row r="1922" spans="1:41" x14ac:dyDescent="0.2">
      <c r="A1922" s="44" t="str">
        <f>IF(COUNTA(B1922)&gt;0,1914,"")</f>
        <v/>
      </c>
      <c r="G1922" s="25" t="str">
        <f t="shared" si="0"/>
        <v/>
      </c>
      <c r="N1922" s="44" t="str">
        <f>IF(COUNTA(B1922)&gt;0,C5,"")</f>
        <v/>
      </c>
      <c r="AO1922" t="str">
        <f t="shared" si="30"/>
        <v/>
      </c>
    </row>
    <row r="1923" spans="1:41" x14ac:dyDescent="0.2">
      <c r="A1923" s="44" t="str">
        <f>IF(COUNTA(B1923)&gt;0,1915,"")</f>
        <v/>
      </c>
      <c r="G1923" s="25" t="str">
        <f t="shared" si="0"/>
        <v/>
      </c>
      <c r="N1923" s="44" t="str">
        <f>IF(COUNTA(B1923)&gt;0,C5,"")</f>
        <v/>
      </c>
      <c r="AO1923" t="str">
        <f t="shared" si="30"/>
        <v/>
      </c>
    </row>
    <row r="1924" spans="1:41" x14ac:dyDescent="0.2">
      <c r="A1924" s="44" t="str">
        <f>IF(COUNTA(B1924)&gt;0,1916,"")</f>
        <v/>
      </c>
      <c r="G1924" s="25" t="str">
        <f t="shared" si="0"/>
        <v/>
      </c>
      <c r="N1924" s="44" t="str">
        <f>IF(COUNTA(B1924)&gt;0,C5,"")</f>
        <v/>
      </c>
      <c r="AO1924" t="str">
        <f t="shared" si="30"/>
        <v/>
      </c>
    </row>
    <row r="1925" spans="1:41" x14ac:dyDescent="0.2">
      <c r="A1925" s="44" t="str">
        <f>IF(COUNTA(B1925)&gt;0,1917,"")</f>
        <v/>
      </c>
      <c r="G1925" s="25" t="str">
        <f t="shared" si="0"/>
        <v/>
      </c>
      <c r="N1925" s="44" t="str">
        <f>IF(COUNTA(B1925)&gt;0,C5,"")</f>
        <v/>
      </c>
      <c r="AO1925" t="str">
        <f t="shared" si="30"/>
        <v/>
      </c>
    </row>
    <row r="1926" spans="1:41" x14ac:dyDescent="0.2">
      <c r="A1926" s="44" t="str">
        <f>IF(COUNTA(B1926)&gt;0,1918,"")</f>
        <v/>
      </c>
      <c r="G1926" s="25" t="str">
        <f t="shared" si="0"/>
        <v/>
      </c>
      <c r="N1926" s="44" t="str">
        <f>IF(COUNTA(B1926)&gt;0,C5,"")</f>
        <v/>
      </c>
      <c r="AO1926" t="str">
        <f t="shared" si="30"/>
        <v/>
      </c>
    </row>
    <row r="1927" spans="1:41" x14ac:dyDescent="0.2">
      <c r="A1927" s="44" t="str">
        <f>IF(COUNTA(B1927)&gt;0,1919,"")</f>
        <v/>
      </c>
      <c r="G1927" s="25" t="str">
        <f t="shared" si="0"/>
        <v/>
      </c>
      <c r="N1927" s="44" t="str">
        <f>IF(COUNTA(B1927)&gt;0,C5,"")</f>
        <v/>
      </c>
      <c r="AO1927" t="str">
        <f t="shared" si="30"/>
        <v/>
      </c>
    </row>
    <row r="1928" spans="1:41" x14ac:dyDescent="0.2">
      <c r="A1928" s="44" t="str">
        <f>IF(COUNTA(B1928)&gt;0,1920,"")</f>
        <v/>
      </c>
      <c r="G1928" s="25" t="str">
        <f t="shared" si="0"/>
        <v/>
      </c>
      <c r="N1928" s="44" t="str">
        <f>IF(COUNTA(B1928)&gt;0,C5,"")</f>
        <v/>
      </c>
      <c r="AO1928" t="str">
        <f t="shared" si="30"/>
        <v/>
      </c>
    </row>
    <row r="1929" spans="1:41" x14ac:dyDescent="0.2">
      <c r="A1929" s="44" t="str">
        <f>IF(COUNTA(B1929)&gt;0,1921,"")</f>
        <v/>
      </c>
      <c r="G1929" s="25" t="str">
        <f t="shared" si="0"/>
        <v/>
      </c>
      <c r="N1929" s="44" t="str">
        <f>IF(COUNTA(B1929)&gt;0,C5,"")</f>
        <v/>
      </c>
      <c r="AO1929" t="str">
        <f t="shared" ref="AO1929:AO1992" si="31">IF(COUNTA(L1929:M1929)&lt;&gt;0,"Có",IF(COUNTA(B1929)&gt;0,"Không",""))</f>
        <v/>
      </c>
    </row>
    <row r="1930" spans="1:41" x14ac:dyDescent="0.2">
      <c r="A1930" s="44" t="str">
        <f>IF(COUNTA(B1930)&gt;0,1922,"")</f>
        <v/>
      </c>
      <c r="G1930" s="25" t="str">
        <f t="shared" si="0"/>
        <v/>
      </c>
      <c r="N1930" s="44" t="str">
        <f>IF(COUNTA(B1930)&gt;0,C5,"")</f>
        <v/>
      </c>
      <c r="AO1930" t="str">
        <f t="shared" si="31"/>
        <v/>
      </c>
    </row>
    <row r="1931" spans="1:41" x14ac:dyDescent="0.2">
      <c r="A1931" s="44" t="str">
        <f>IF(COUNTA(B1931)&gt;0,1923,"")</f>
        <v/>
      </c>
      <c r="G1931" s="25" t="str">
        <f t="shared" si="0"/>
        <v/>
      </c>
      <c r="N1931" s="44" t="str">
        <f>IF(COUNTA(B1931)&gt;0,C5,"")</f>
        <v/>
      </c>
      <c r="AO1931" t="str">
        <f t="shared" si="31"/>
        <v/>
      </c>
    </row>
    <row r="1932" spans="1:41" x14ac:dyDescent="0.2">
      <c r="A1932" s="44" t="str">
        <f>IF(COUNTA(B1932)&gt;0,1924,"")</f>
        <v/>
      </c>
      <c r="G1932" s="25" t="str">
        <f t="shared" si="0"/>
        <v/>
      </c>
      <c r="N1932" s="44" t="str">
        <f>IF(COUNTA(B1932)&gt;0,C5,"")</f>
        <v/>
      </c>
      <c r="AO1932" t="str">
        <f t="shared" si="31"/>
        <v/>
      </c>
    </row>
    <row r="1933" spans="1:41" x14ac:dyDescent="0.2">
      <c r="A1933" s="44" t="str">
        <f>IF(COUNTA(B1933)&gt;0,1925,"")</f>
        <v/>
      </c>
      <c r="G1933" s="25" t="str">
        <f t="shared" si="0"/>
        <v/>
      </c>
      <c r="N1933" s="44" t="str">
        <f>IF(COUNTA(B1933)&gt;0,C5,"")</f>
        <v/>
      </c>
      <c r="AO1933" t="str">
        <f t="shared" si="31"/>
        <v/>
      </c>
    </row>
    <row r="1934" spans="1:41" x14ac:dyDescent="0.2">
      <c r="A1934" s="44" t="str">
        <f>IF(COUNTA(B1934)&gt;0,1926,"")</f>
        <v/>
      </c>
      <c r="G1934" s="25" t="str">
        <f t="shared" si="0"/>
        <v/>
      </c>
      <c r="N1934" s="44" t="str">
        <f>IF(COUNTA(B1934)&gt;0,C5,"")</f>
        <v/>
      </c>
      <c r="AO1934" t="str">
        <f t="shared" si="31"/>
        <v/>
      </c>
    </row>
    <row r="1935" spans="1:41" x14ac:dyDescent="0.2">
      <c r="A1935" s="44" t="str">
        <f>IF(COUNTA(B1935)&gt;0,1927,"")</f>
        <v/>
      </c>
      <c r="G1935" s="25" t="str">
        <f t="shared" si="0"/>
        <v/>
      </c>
      <c r="N1935" s="44" t="str">
        <f>IF(COUNTA(B1935)&gt;0,C5,"")</f>
        <v/>
      </c>
      <c r="AO1935" t="str">
        <f t="shared" si="31"/>
        <v/>
      </c>
    </row>
    <row r="1936" spans="1:41" x14ac:dyDescent="0.2">
      <c r="A1936" s="44" t="str">
        <f>IF(COUNTA(B1936)&gt;0,1928,"")</f>
        <v/>
      </c>
      <c r="G1936" s="25" t="str">
        <f t="shared" si="0"/>
        <v/>
      </c>
      <c r="N1936" s="44" t="str">
        <f>IF(COUNTA(B1936)&gt;0,C5,"")</f>
        <v/>
      </c>
      <c r="AO1936" t="str">
        <f t="shared" si="31"/>
        <v/>
      </c>
    </row>
    <row r="1937" spans="1:41" x14ac:dyDescent="0.2">
      <c r="A1937" s="44" t="str">
        <f>IF(COUNTA(B1937)&gt;0,1929,"")</f>
        <v/>
      </c>
      <c r="G1937" s="25" t="str">
        <f t="shared" si="0"/>
        <v/>
      </c>
      <c r="N1937" s="44" t="str">
        <f>IF(COUNTA(B1937)&gt;0,C5,"")</f>
        <v/>
      </c>
      <c r="AO1937" t="str">
        <f t="shared" si="31"/>
        <v/>
      </c>
    </row>
    <row r="1938" spans="1:41" x14ac:dyDescent="0.2">
      <c r="A1938" s="44" t="str">
        <f>IF(COUNTA(B1938)&gt;0,1930,"")</f>
        <v/>
      </c>
      <c r="G1938" s="25" t="str">
        <f t="shared" si="0"/>
        <v/>
      </c>
      <c r="N1938" s="44" t="str">
        <f>IF(COUNTA(B1938)&gt;0,C5,"")</f>
        <v/>
      </c>
      <c r="AO1938" t="str">
        <f t="shared" si="31"/>
        <v/>
      </c>
    </row>
    <row r="1939" spans="1:41" x14ac:dyDescent="0.2">
      <c r="A1939" s="44" t="str">
        <f>IF(COUNTA(B1939)&gt;0,1931,"")</f>
        <v/>
      </c>
      <c r="G1939" s="25" t="str">
        <f t="shared" si="0"/>
        <v/>
      </c>
      <c r="N1939" s="44" t="str">
        <f>IF(COUNTA(B1939)&gt;0,C5,"")</f>
        <v/>
      </c>
      <c r="AO1939" t="str">
        <f t="shared" si="31"/>
        <v/>
      </c>
    </row>
    <row r="1940" spans="1:41" x14ac:dyDescent="0.2">
      <c r="A1940" s="44" t="str">
        <f>IF(COUNTA(B1940)&gt;0,1932,"")</f>
        <v/>
      </c>
      <c r="G1940" s="25" t="str">
        <f t="shared" si="0"/>
        <v/>
      </c>
      <c r="N1940" s="44" t="str">
        <f>IF(COUNTA(B1940)&gt;0,C5,"")</f>
        <v/>
      </c>
      <c r="AO1940" t="str">
        <f t="shared" si="31"/>
        <v/>
      </c>
    </row>
    <row r="1941" spans="1:41" x14ac:dyDescent="0.2">
      <c r="A1941" s="44" t="str">
        <f>IF(COUNTA(B1941)&gt;0,1933,"")</f>
        <v/>
      </c>
      <c r="G1941" s="25" t="str">
        <f t="shared" si="0"/>
        <v/>
      </c>
      <c r="N1941" s="44" t="str">
        <f>IF(COUNTA(B1941)&gt;0,C5,"")</f>
        <v/>
      </c>
      <c r="AO1941" t="str">
        <f t="shared" si="31"/>
        <v/>
      </c>
    </row>
    <row r="1942" spans="1:41" x14ac:dyDescent="0.2">
      <c r="A1942" s="44" t="str">
        <f>IF(COUNTA(B1942)&gt;0,1934,"")</f>
        <v/>
      </c>
      <c r="G1942" s="25" t="str">
        <f t="shared" si="0"/>
        <v/>
      </c>
      <c r="N1942" s="44" t="str">
        <f>IF(COUNTA(B1942)&gt;0,C5,"")</f>
        <v/>
      </c>
      <c r="AO1942" t="str">
        <f t="shared" si="31"/>
        <v/>
      </c>
    </row>
    <row r="1943" spans="1:41" x14ac:dyDescent="0.2">
      <c r="A1943" s="44" t="str">
        <f>IF(COUNTA(B1943)&gt;0,1935,"")</f>
        <v/>
      </c>
      <c r="G1943" s="25" t="str">
        <f t="shared" si="0"/>
        <v/>
      </c>
      <c r="N1943" s="44" t="str">
        <f>IF(COUNTA(B1943)&gt;0,C5,"")</f>
        <v/>
      </c>
      <c r="AO1943" t="str">
        <f t="shared" si="31"/>
        <v/>
      </c>
    </row>
    <row r="1944" spans="1:41" x14ac:dyDescent="0.2">
      <c r="A1944" s="44" t="str">
        <f>IF(COUNTA(B1944)&gt;0,1936,"")</f>
        <v/>
      </c>
      <c r="G1944" s="25" t="str">
        <f t="shared" si="0"/>
        <v/>
      </c>
      <c r="N1944" s="44" t="str">
        <f>IF(COUNTA(B1944)&gt;0,C5,"")</f>
        <v/>
      </c>
      <c r="AO1944" t="str">
        <f t="shared" si="31"/>
        <v/>
      </c>
    </row>
    <row r="1945" spans="1:41" x14ac:dyDescent="0.2">
      <c r="A1945" s="44" t="str">
        <f>IF(COUNTA(B1945)&gt;0,1937,"")</f>
        <v/>
      </c>
      <c r="G1945" s="25" t="str">
        <f t="shared" si="0"/>
        <v/>
      </c>
      <c r="N1945" s="44" t="str">
        <f>IF(COUNTA(B1945)&gt;0,C5,"")</f>
        <v/>
      </c>
      <c r="AO1945" t="str">
        <f t="shared" si="31"/>
        <v/>
      </c>
    </row>
    <row r="1946" spans="1:41" x14ac:dyDescent="0.2">
      <c r="A1946" s="44" t="str">
        <f>IF(COUNTA(B1946)&gt;0,1938,"")</f>
        <v/>
      </c>
      <c r="G1946" s="25" t="str">
        <f t="shared" si="0"/>
        <v/>
      </c>
      <c r="N1946" s="44" t="str">
        <f>IF(COUNTA(B1946)&gt;0,C5,"")</f>
        <v/>
      </c>
      <c r="AO1946" t="str">
        <f t="shared" si="31"/>
        <v/>
      </c>
    </row>
    <row r="1947" spans="1:41" x14ac:dyDescent="0.2">
      <c r="A1947" s="44" t="str">
        <f>IF(COUNTA(B1947)&gt;0,1939,"")</f>
        <v/>
      </c>
      <c r="G1947" s="25" t="str">
        <f t="shared" si="0"/>
        <v/>
      </c>
      <c r="N1947" s="44" t="str">
        <f>IF(COUNTA(B1947)&gt;0,C5,"")</f>
        <v/>
      </c>
      <c r="AO1947" t="str">
        <f t="shared" si="31"/>
        <v/>
      </c>
    </row>
    <row r="1948" spans="1:41" x14ac:dyDescent="0.2">
      <c r="A1948" s="44" t="str">
        <f>IF(COUNTA(B1948)&gt;0,1940,"")</f>
        <v/>
      </c>
      <c r="G1948" s="25" t="str">
        <f t="shared" si="0"/>
        <v/>
      </c>
      <c r="N1948" s="44" t="str">
        <f>IF(COUNTA(B1948)&gt;0,C5,"")</f>
        <v/>
      </c>
      <c r="AO1948" t="str">
        <f t="shared" si="31"/>
        <v/>
      </c>
    </row>
    <row r="1949" spans="1:41" x14ac:dyDescent="0.2">
      <c r="A1949" s="44" t="str">
        <f>IF(COUNTA(B1949)&gt;0,1941,"")</f>
        <v/>
      </c>
      <c r="G1949" s="25" t="str">
        <f t="shared" si="0"/>
        <v/>
      </c>
      <c r="N1949" s="44" t="str">
        <f>IF(COUNTA(B1949)&gt;0,C5,"")</f>
        <v/>
      </c>
      <c r="AO1949" t="str">
        <f t="shared" si="31"/>
        <v/>
      </c>
    </row>
    <row r="1950" spans="1:41" x14ac:dyDescent="0.2">
      <c r="A1950" s="44" t="str">
        <f>IF(COUNTA(B1950)&gt;0,1942,"")</f>
        <v/>
      </c>
      <c r="G1950" s="25" t="str">
        <f t="shared" si="0"/>
        <v/>
      </c>
      <c r="N1950" s="44" t="str">
        <f>IF(COUNTA(B1950)&gt;0,C5,"")</f>
        <v/>
      </c>
      <c r="AO1950" t="str">
        <f t="shared" si="31"/>
        <v/>
      </c>
    </row>
    <row r="1951" spans="1:41" x14ac:dyDescent="0.2">
      <c r="A1951" s="44" t="str">
        <f>IF(COUNTA(B1951)&gt;0,1943,"")</f>
        <v/>
      </c>
      <c r="G1951" s="25" t="str">
        <f t="shared" si="0"/>
        <v/>
      </c>
      <c r="N1951" s="44" t="str">
        <f>IF(COUNTA(B1951)&gt;0,C5,"")</f>
        <v/>
      </c>
      <c r="AO1951" t="str">
        <f t="shared" si="31"/>
        <v/>
      </c>
    </row>
    <row r="1952" spans="1:41" x14ac:dyDescent="0.2">
      <c r="A1952" s="44" t="str">
        <f>IF(COUNTA(B1952)&gt;0,1944,"")</f>
        <v/>
      </c>
      <c r="G1952" s="25" t="str">
        <f t="shared" si="0"/>
        <v/>
      </c>
      <c r="N1952" s="44" t="str">
        <f>IF(COUNTA(B1952)&gt;0,C5,"")</f>
        <v/>
      </c>
      <c r="AO1952" t="str">
        <f t="shared" si="31"/>
        <v/>
      </c>
    </row>
    <row r="1953" spans="1:41" x14ac:dyDescent="0.2">
      <c r="A1953" s="44" t="str">
        <f>IF(COUNTA(B1953)&gt;0,1945,"")</f>
        <v/>
      </c>
      <c r="G1953" s="25" t="str">
        <f t="shared" si="0"/>
        <v/>
      </c>
      <c r="N1953" s="44" t="str">
        <f>IF(COUNTA(B1953)&gt;0,C5,"")</f>
        <v/>
      </c>
      <c r="AO1953" t="str">
        <f t="shared" si="31"/>
        <v/>
      </c>
    </row>
    <row r="1954" spans="1:41" x14ac:dyDescent="0.2">
      <c r="A1954" s="44" t="str">
        <f>IF(COUNTA(B1954)&gt;0,1946,"")</f>
        <v/>
      </c>
      <c r="G1954" s="25" t="str">
        <f t="shared" si="0"/>
        <v/>
      </c>
      <c r="N1954" s="44" t="str">
        <f>IF(COUNTA(B1954)&gt;0,C5,"")</f>
        <v/>
      </c>
      <c r="AO1954" t="str">
        <f t="shared" si="31"/>
        <v/>
      </c>
    </row>
    <row r="1955" spans="1:41" x14ac:dyDescent="0.2">
      <c r="A1955" s="44" t="str">
        <f>IF(COUNTA(B1955)&gt;0,1947,"")</f>
        <v/>
      </c>
      <c r="G1955" s="25" t="str">
        <f t="shared" si="0"/>
        <v/>
      </c>
      <c r="N1955" s="44" t="str">
        <f>IF(COUNTA(B1955)&gt;0,C5,"")</f>
        <v/>
      </c>
      <c r="AO1955" t="str">
        <f t="shared" si="31"/>
        <v/>
      </c>
    </row>
    <row r="1956" spans="1:41" x14ac:dyDescent="0.2">
      <c r="A1956" s="44" t="str">
        <f>IF(COUNTA(B1956)&gt;0,1948,"")</f>
        <v/>
      </c>
      <c r="G1956" s="25" t="str">
        <f t="shared" si="0"/>
        <v/>
      </c>
      <c r="N1956" s="44" t="str">
        <f>IF(COUNTA(B1956)&gt;0,C5,"")</f>
        <v/>
      </c>
      <c r="AO1956" t="str">
        <f t="shared" si="31"/>
        <v/>
      </c>
    </row>
    <row r="1957" spans="1:41" x14ac:dyDescent="0.2">
      <c r="A1957" s="44" t="str">
        <f>IF(COUNTA(B1957)&gt;0,1949,"")</f>
        <v/>
      </c>
      <c r="G1957" s="25" t="str">
        <f t="shared" si="0"/>
        <v/>
      </c>
      <c r="N1957" s="44" t="str">
        <f>IF(COUNTA(B1957)&gt;0,C5,"")</f>
        <v/>
      </c>
      <c r="AO1957" t="str">
        <f t="shared" si="31"/>
        <v/>
      </c>
    </row>
    <row r="1958" spans="1:41" x14ac:dyDescent="0.2">
      <c r="A1958" s="44" t="str">
        <f>IF(COUNTA(B1958)&gt;0,1950,"")</f>
        <v/>
      </c>
      <c r="G1958" s="25" t="str">
        <f t="shared" si="0"/>
        <v/>
      </c>
      <c r="N1958" s="44" t="str">
        <f>IF(COUNTA(B1958)&gt;0,C5,"")</f>
        <v/>
      </c>
      <c r="AO1958" t="str">
        <f t="shared" si="31"/>
        <v/>
      </c>
    </row>
    <row r="1959" spans="1:41" x14ac:dyDescent="0.2">
      <c r="A1959" s="44" t="str">
        <f>IF(COUNTA(B1959)&gt;0,1951,"")</f>
        <v/>
      </c>
      <c r="G1959" s="25" t="str">
        <f t="shared" si="0"/>
        <v/>
      </c>
      <c r="N1959" s="44" t="str">
        <f>IF(COUNTA(B1959)&gt;0,C5,"")</f>
        <v/>
      </c>
      <c r="AO1959" t="str">
        <f t="shared" si="31"/>
        <v/>
      </c>
    </row>
    <row r="1960" spans="1:41" x14ac:dyDescent="0.2">
      <c r="A1960" s="44" t="str">
        <f>IF(COUNTA(B1960)&gt;0,1952,"")</f>
        <v/>
      </c>
      <c r="G1960" s="25" t="str">
        <f t="shared" si="0"/>
        <v/>
      </c>
      <c r="N1960" s="44" t="str">
        <f>IF(COUNTA(B1960)&gt;0,C5,"")</f>
        <v/>
      </c>
      <c r="AO1960" t="str">
        <f t="shared" si="31"/>
        <v/>
      </c>
    </row>
    <row r="1961" spans="1:41" x14ac:dyDescent="0.2">
      <c r="A1961" s="44" t="str">
        <f>IF(COUNTA(B1961)&gt;0,1953,"")</f>
        <v/>
      </c>
      <c r="G1961" s="25" t="str">
        <f t="shared" si="0"/>
        <v/>
      </c>
      <c r="N1961" s="44" t="str">
        <f>IF(COUNTA(B1961)&gt;0,C5,"")</f>
        <v/>
      </c>
      <c r="AO1961" t="str">
        <f t="shared" si="31"/>
        <v/>
      </c>
    </row>
    <row r="1962" spans="1:41" x14ac:dyDescent="0.2">
      <c r="A1962" s="44" t="str">
        <f>IF(COUNTA(B1962)&gt;0,1954,"")</f>
        <v/>
      </c>
      <c r="G1962" s="25" t="str">
        <f t="shared" si="0"/>
        <v/>
      </c>
      <c r="N1962" s="44" t="str">
        <f>IF(COUNTA(B1962)&gt;0,C5,"")</f>
        <v/>
      </c>
      <c r="AO1962" t="str">
        <f t="shared" si="31"/>
        <v/>
      </c>
    </row>
    <row r="1963" spans="1:41" x14ac:dyDescent="0.2">
      <c r="A1963" s="44" t="str">
        <f>IF(COUNTA(B1963)&gt;0,1955,"")</f>
        <v/>
      </c>
      <c r="G1963" s="25" t="str">
        <f t="shared" si="0"/>
        <v/>
      </c>
      <c r="N1963" s="44" t="str">
        <f>IF(COUNTA(B1963)&gt;0,C5,"")</f>
        <v/>
      </c>
      <c r="AO1963" t="str">
        <f t="shared" si="31"/>
        <v/>
      </c>
    </row>
    <row r="1964" spans="1:41" x14ac:dyDescent="0.2">
      <c r="A1964" s="44" t="str">
        <f>IF(COUNTA(B1964)&gt;0,1956,"")</f>
        <v/>
      </c>
      <c r="G1964" s="25" t="str">
        <f t="shared" si="0"/>
        <v/>
      </c>
      <c r="N1964" s="44" t="str">
        <f>IF(COUNTA(B1964)&gt;0,C5,"")</f>
        <v/>
      </c>
      <c r="AO1964" t="str">
        <f t="shared" si="31"/>
        <v/>
      </c>
    </row>
    <row r="1965" spans="1:41" x14ac:dyDescent="0.2">
      <c r="A1965" s="44" t="str">
        <f>IF(COUNTA(B1965)&gt;0,1957,"")</f>
        <v/>
      </c>
      <c r="G1965" s="25" t="str">
        <f t="shared" si="0"/>
        <v/>
      </c>
      <c r="N1965" s="44" t="str">
        <f>IF(COUNTA(B1965)&gt;0,C5,"")</f>
        <v/>
      </c>
      <c r="AO1965" t="str">
        <f t="shared" si="31"/>
        <v/>
      </c>
    </row>
    <row r="1966" spans="1:41" x14ac:dyDescent="0.2">
      <c r="A1966" s="44" t="str">
        <f>IF(COUNTA(B1966)&gt;0,1958,"")</f>
        <v/>
      </c>
      <c r="G1966" s="25" t="str">
        <f t="shared" si="0"/>
        <v/>
      </c>
      <c r="N1966" s="44" t="str">
        <f>IF(COUNTA(B1966)&gt;0,C5,"")</f>
        <v/>
      </c>
      <c r="AO1966" t="str">
        <f t="shared" si="31"/>
        <v/>
      </c>
    </row>
    <row r="1967" spans="1:41" x14ac:dyDescent="0.2">
      <c r="A1967" s="44" t="str">
        <f>IF(COUNTA(B1967)&gt;0,1959,"")</f>
        <v/>
      </c>
      <c r="G1967" s="25" t="str">
        <f t="shared" si="0"/>
        <v/>
      </c>
      <c r="N1967" s="44" t="str">
        <f>IF(COUNTA(B1967)&gt;0,C5,"")</f>
        <v/>
      </c>
      <c r="AO1967" t="str">
        <f t="shared" si="31"/>
        <v/>
      </c>
    </row>
    <row r="1968" spans="1:41" x14ac:dyDescent="0.2">
      <c r="A1968" s="44" t="str">
        <f>IF(COUNTA(B1968)&gt;0,1960,"")</f>
        <v/>
      </c>
      <c r="G1968" s="25" t="str">
        <f t="shared" si="0"/>
        <v/>
      </c>
      <c r="N1968" s="44" t="str">
        <f>IF(COUNTA(B1968)&gt;0,C5,"")</f>
        <v/>
      </c>
      <c r="AO1968" t="str">
        <f t="shared" si="31"/>
        <v/>
      </c>
    </row>
    <row r="1969" spans="1:41" x14ac:dyDescent="0.2">
      <c r="A1969" s="44" t="str">
        <f>IF(COUNTA(B1969)&gt;0,1961,"")</f>
        <v/>
      </c>
      <c r="G1969" s="25" t="str">
        <f t="shared" si="0"/>
        <v/>
      </c>
      <c r="N1969" s="44" t="str">
        <f>IF(COUNTA(B1969)&gt;0,C5,"")</f>
        <v/>
      </c>
      <c r="AO1969" t="str">
        <f t="shared" si="31"/>
        <v/>
      </c>
    </row>
    <row r="1970" spans="1:41" x14ac:dyDescent="0.2">
      <c r="A1970" s="44" t="str">
        <f>IF(COUNTA(B1970)&gt;0,1962,"")</f>
        <v/>
      </c>
      <c r="G1970" s="25" t="str">
        <f t="shared" si="0"/>
        <v/>
      </c>
      <c r="N1970" s="44" t="str">
        <f>IF(COUNTA(B1970)&gt;0,C5,"")</f>
        <v/>
      </c>
      <c r="AO1970" t="str">
        <f t="shared" si="31"/>
        <v/>
      </c>
    </row>
    <row r="1971" spans="1:41" x14ac:dyDescent="0.2">
      <c r="A1971" s="44" t="str">
        <f>IF(COUNTA(B1971)&gt;0,1963,"")</f>
        <v/>
      </c>
      <c r="G1971" s="25" t="str">
        <f t="shared" si="0"/>
        <v/>
      </c>
      <c r="N1971" s="44" t="str">
        <f>IF(COUNTA(B1971)&gt;0,C5,"")</f>
        <v/>
      </c>
      <c r="AO1971" t="str">
        <f t="shared" si="31"/>
        <v/>
      </c>
    </row>
    <row r="1972" spans="1:41" x14ac:dyDescent="0.2">
      <c r="A1972" s="44" t="str">
        <f>IF(COUNTA(B1972)&gt;0,1964,"")</f>
        <v/>
      </c>
      <c r="G1972" s="25" t="str">
        <f t="shared" si="0"/>
        <v/>
      </c>
      <c r="N1972" s="44" t="str">
        <f>IF(COUNTA(B1972)&gt;0,C5,"")</f>
        <v/>
      </c>
      <c r="AO1972" t="str">
        <f t="shared" si="31"/>
        <v/>
      </c>
    </row>
    <row r="1973" spans="1:41" x14ac:dyDescent="0.2">
      <c r="A1973" s="44" t="str">
        <f>IF(COUNTA(B1973)&gt;0,1965,"")</f>
        <v/>
      </c>
      <c r="G1973" s="25" t="str">
        <f t="shared" si="0"/>
        <v/>
      </c>
      <c r="N1973" s="44" t="str">
        <f>IF(COUNTA(B1973)&gt;0,C5,"")</f>
        <v/>
      </c>
      <c r="AO1973" t="str">
        <f t="shared" si="31"/>
        <v/>
      </c>
    </row>
    <row r="1974" spans="1:41" x14ac:dyDescent="0.2">
      <c r="A1974" s="44" t="str">
        <f>IF(COUNTA(B1974)&gt;0,1966,"")</f>
        <v/>
      </c>
      <c r="G1974" s="25" t="str">
        <f t="shared" si="0"/>
        <v/>
      </c>
      <c r="N1974" s="44" t="str">
        <f>IF(COUNTA(B1974)&gt;0,C5,"")</f>
        <v/>
      </c>
      <c r="AO1974" t="str">
        <f t="shared" si="31"/>
        <v/>
      </c>
    </row>
    <row r="1975" spans="1:41" x14ac:dyDescent="0.2">
      <c r="A1975" s="44" t="str">
        <f>IF(COUNTA(B1975)&gt;0,1967,"")</f>
        <v/>
      </c>
      <c r="G1975" s="25" t="str">
        <f t="shared" si="0"/>
        <v/>
      </c>
      <c r="N1975" s="44" t="str">
        <f>IF(COUNTA(B1975)&gt;0,C5,"")</f>
        <v/>
      </c>
      <c r="AO1975" t="str">
        <f t="shared" si="31"/>
        <v/>
      </c>
    </row>
    <row r="1976" spans="1:41" x14ac:dyDescent="0.2">
      <c r="A1976" s="44" t="str">
        <f>IF(COUNTA(B1976)&gt;0,1968,"")</f>
        <v/>
      </c>
      <c r="G1976" s="25" t="str">
        <f t="shared" si="0"/>
        <v/>
      </c>
      <c r="N1976" s="44" t="str">
        <f>IF(COUNTA(B1976)&gt;0,C5,"")</f>
        <v/>
      </c>
      <c r="AO1976" t="str">
        <f t="shared" si="31"/>
        <v/>
      </c>
    </row>
    <row r="1977" spans="1:41" x14ac:dyDescent="0.2">
      <c r="A1977" s="44" t="str">
        <f>IF(COUNTA(B1977)&gt;0,1969,"")</f>
        <v/>
      </c>
      <c r="G1977" s="25" t="str">
        <f t="shared" si="0"/>
        <v/>
      </c>
      <c r="N1977" s="44" t="str">
        <f>IF(COUNTA(B1977)&gt;0,C5,"")</f>
        <v/>
      </c>
      <c r="AO1977" t="str">
        <f t="shared" si="31"/>
        <v/>
      </c>
    </row>
    <row r="1978" spans="1:41" x14ac:dyDescent="0.2">
      <c r="A1978" s="44" t="str">
        <f>IF(COUNTA(B1978)&gt;0,1970,"")</f>
        <v/>
      </c>
      <c r="G1978" s="25" t="str">
        <f t="shared" si="0"/>
        <v/>
      </c>
      <c r="N1978" s="44" t="str">
        <f>IF(COUNTA(B1978)&gt;0,C5,"")</f>
        <v/>
      </c>
      <c r="AO1978" t="str">
        <f t="shared" si="31"/>
        <v/>
      </c>
    </row>
    <row r="1979" spans="1:41" x14ac:dyDescent="0.2">
      <c r="A1979" s="44" t="str">
        <f>IF(COUNTA(B1979)&gt;0,1971,"")</f>
        <v/>
      </c>
      <c r="G1979" s="25" t="str">
        <f t="shared" si="0"/>
        <v/>
      </c>
      <c r="N1979" s="44" t="str">
        <f>IF(COUNTA(B1979)&gt;0,C5,"")</f>
        <v/>
      </c>
      <c r="AO1979" t="str">
        <f t="shared" si="31"/>
        <v/>
      </c>
    </row>
    <row r="1980" spans="1:41" x14ac:dyDescent="0.2">
      <c r="A1980" s="44" t="str">
        <f>IF(COUNTA(B1980)&gt;0,1972,"")</f>
        <v/>
      </c>
      <c r="G1980" s="25" t="str">
        <f t="shared" si="0"/>
        <v/>
      </c>
      <c r="N1980" s="44" t="str">
        <f>IF(COUNTA(B1980)&gt;0,C5,"")</f>
        <v/>
      </c>
      <c r="AO1980" t="str">
        <f t="shared" si="31"/>
        <v/>
      </c>
    </row>
    <row r="1981" spans="1:41" x14ac:dyDescent="0.2">
      <c r="A1981" s="44" t="str">
        <f>IF(COUNTA(B1981)&gt;0,1973,"")</f>
        <v/>
      </c>
      <c r="G1981" s="25" t="str">
        <f t="shared" si="0"/>
        <v/>
      </c>
      <c r="N1981" s="44" t="str">
        <f>IF(COUNTA(B1981)&gt;0,C5,"")</f>
        <v/>
      </c>
      <c r="AO1981" t="str">
        <f t="shared" si="31"/>
        <v/>
      </c>
    </row>
    <row r="1982" spans="1:41" x14ac:dyDescent="0.2">
      <c r="A1982" s="44" t="str">
        <f>IF(COUNTA(B1982)&gt;0,1974,"")</f>
        <v/>
      </c>
      <c r="G1982" s="25" t="str">
        <f t="shared" si="0"/>
        <v/>
      </c>
      <c r="N1982" s="44" t="str">
        <f>IF(COUNTA(B1982)&gt;0,C5,"")</f>
        <v/>
      </c>
      <c r="AO1982" t="str">
        <f t="shared" si="31"/>
        <v/>
      </c>
    </row>
    <row r="1983" spans="1:41" x14ac:dyDescent="0.2">
      <c r="A1983" s="44" t="str">
        <f>IF(COUNTA(B1983)&gt;0,1975,"")</f>
        <v/>
      </c>
      <c r="G1983" s="25" t="str">
        <f t="shared" si="0"/>
        <v/>
      </c>
      <c r="N1983" s="44" t="str">
        <f>IF(COUNTA(B1983)&gt;0,C5,"")</f>
        <v/>
      </c>
      <c r="AO1983" t="str">
        <f t="shared" si="31"/>
        <v/>
      </c>
    </row>
    <row r="1984" spans="1:41" x14ac:dyDescent="0.2">
      <c r="A1984" s="44" t="str">
        <f>IF(COUNTA(B1984)&gt;0,1976,"")</f>
        <v/>
      </c>
      <c r="G1984" s="25" t="str">
        <f t="shared" si="0"/>
        <v/>
      </c>
      <c r="N1984" s="44" t="str">
        <f>IF(COUNTA(B1984)&gt;0,C5,"")</f>
        <v/>
      </c>
      <c r="AO1984" t="str">
        <f t="shared" si="31"/>
        <v/>
      </c>
    </row>
    <row r="1985" spans="1:41" x14ac:dyDescent="0.2">
      <c r="A1985" s="44" t="str">
        <f>IF(COUNTA(B1985)&gt;0,1977,"")</f>
        <v/>
      </c>
      <c r="G1985" s="25" t="str">
        <f t="shared" si="0"/>
        <v/>
      </c>
      <c r="N1985" s="44" t="str">
        <f>IF(COUNTA(B1985)&gt;0,C5,"")</f>
        <v/>
      </c>
      <c r="AO1985" t="str">
        <f t="shared" si="31"/>
        <v/>
      </c>
    </row>
    <row r="1986" spans="1:41" x14ac:dyDescent="0.2">
      <c r="A1986" s="44" t="str">
        <f>IF(COUNTA(B1986)&gt;0,1978,"")</f>
        <v/>
      </c>
      <c r="G1986" s="25" t="str">
        <f t="shared" si="0"/>
        <v/>
      </c>
      <c r="N1986" s="44" t="str">
        <f>IF(COUNTA(B1986)&gt;0,C5,"")</f>
        <v/>
      </c>
      <c r="AO1986" t="str">
        <f t="shared" si="31"/>
        <v/>
      </c>
    </row>
    <row r="1987" spans="1:41" x14ac:dyDescent="0.2">
      <c r="A1987" s="44" t="str">
        <f>IF(COUNTA(B1987)&gt;0,1979,"")</f>
        <v/>
      </c>
      <c r="G1987" s="25" t="str">
        <f t="shared" si="0"/>
        <v/>
      </c>
      <c r="N1987" s="44" t="str">
        <f>IF(COUNTA(B1987)&gt;0,C5,"")</f>
        <v/>
      </c>
      <c r="AO1987" t="str">
        <f t="shared" si="31"/>
        <v/>
      </c>
    </row>
    <row r="1988" spans="1:41" x14ac:dyDescent="0.2">
      <c r="A1988" s="44" t="str">
        <f>IF(COUNTA(B1988)&gt;0,1980,"")</f>
        <v/>
      </c>
      <c r="G1988" s="25" t="str">
        <f t="shared" si="0"/>
        <v/>
      </c>
      <c r="N1988" s="44" t="str">
        <f>IF(COUNTA(B1988)&gt;0,C5,"")</f>
        <v/>
      </c>
      <c r="AO1988" t="str">
        <f t="shared" si="31"/>
        <v/>
      </c>
    </row>
    <row r="1989" spans="1:41" x14ac:dyDescent="0.2">
      <c r="A1989" s="44" t="str">
        <f>IF(COUNTA(B1989)&gt;0,1981,"")</f>
        <v/>
      </c>
      <c r="G1989" s="25" t="str">
        <f t="shared" si="0"/>
        <v/>
      </c>
      <c r="N1989" s="44" t="str">
        <f>IF(COUNTA(B1989)&gt;0,C5,"")</f>
        <v/>
      </c>
      <c r="AO1989" t="str">
        <f t="shared" si="31"/>
        <v/>
      </c>
    </row>
    <row r="1990" spans="1:41" x14ac:dyDescent="0.2">
      <c r="A1990" s="44" t="str">
        <f>IF(COUNTA(B1990)&gt;0,1982,"")</f>
        <v/>
      </c>
      <c r="G1990" s="25" t="str">
        <f t="shared" si="0"/>
        <v/>
      </c>
      <c r="N1990" s="44" t="str">
        <f>IF(COUNTA(B1990)&gt;0,C5,"")</f>
        <v/>
      </c>
      <c r="AO1990" t="str">
        <f t="shared" si="31"/>
        <v/>
      </c>
    </row>
    <row r="1991" spans="1:41" x14ac:dyDescent="0.2">
      <c r="A1991" s="44" t="str">
        <f>IF(COUNTA(B1991)&gt;0,1983,"")</f>
        <v/>
      </c>
      <c r="G1991" s="25" t="str">
        <f t="shared" si="0"/>
        <v/>
      </c>
      <c r="N1991" s="44" t="str">
        <f>IF(COUNTA(B1991)&gt;0,C5,"")</f>
        <v/>
      </c>
      <c r="AO1991" t="str">
        <f t="shared" si="31"/>
        <v/>
      </c>
    </row>
    <row r="1992" spans="1:41" x14ac:dyDescent="0.2">
      <c r="A1992" s="44" t="str">
        <f>IF(COUNTA(B1992)&gt;0,1984,"")</f>
        <v/>
      </c>
      <c r="G1992" s="25" t="str">
        <f t="shared" si="0"/>
        <v/>
      </c>
      <c r="N1992" s="44" t="str">
        <f>IF(COUNTA(B1992)&gt;0,C5,"")</f>
        <v/>
      </c>
      <c r="AO1992" t="str">
        <f t="shared" si="31"/>
        <v/>
      </c>
    </row>
    <row r="1993" spans="1:41" x14ac:dyDescent="0.2">
      <c r="A1993" s="44" t="str">
        <f>IF(COUNTA(B1993)&gt;0,1985,"")</f>
        <v/>
      </c>
      <c r="G1993" s="25" t="str">
        <f t="shared" si="0"/>
        <v/>
      </c>
      <c r="N1993" s="44" t="str">
        <f>IF(COUNTA(B1993)&gt;0,C5,"")</f>
        <v/>
      </c>
      <c r="AO1993" t="str">
        <f t="shared" ref="AO1993:AO2000" si="32">IF(COUNTA(L1993:M1993)&lt;&gt;0,"Có",IF(COUNTA(B1993)&gt;0,"Không",""))</f>
        <v/>
      </c>
    </row>
    <row r="1994" spans="1:41" x14ac:dyDescent="0.2">
      <c r="A1994" s="44" t="str">
        <f>IF(COUNTA(B1994)&gt;0,1986,"")</f>
        <v/>
      </c>
      <c r="G1994" s="25" t="str">
        <f t="shared" si="0"/>
        <v/>
      </c>
      <c r="N1994" s="44" t="str">
        <f>IF(COUNTA(B1994)&gt;0,C5,"")</f>
        <v/>
      </c>
      <c r="AO1994" t="str">
        <f t="shared" si="32"/>
        <v/>
      </c>
    </row>
    <row r="1995" spans="1:41" x14ac:dyDescent="0.2">
      <c r="A1995" s="44" t="str">
        <f>IF(COUNTA(B1995)&gt;0,1987,"")</f>
        <v/>
      </c>
      <c r="G1995" s="25" t="str">
        <f t="shared" si="0"/>
        <v/>
      </c>
      <c r="N1995" s="44" t="str">
        <f>IF(COUNTA(B1995)&gt;0,C5,"")</f>
        <v/>
      </c>
      <c r="AO1995" t="str">
        <f t="shared" si="32"/>
        <v/>
      </c>
    </row>
    <row r="1996" spans="1:41" x14ac:dyDescent="0.2">
      <c r="A1996" s="44" t="str">
        <f>IF(COUNTA(B1996)&gt;0,1988,"")</f>
        <v/>
      </c>
      <c r="G1996" s="25" t="str">
        <f t="shared" si="0"/>
        <v/>
      </c>
      <c r="N1996" s="44" t="str">
        <f>IF(COUNTA(B1996)&gt;0,C5,"")</f>
        <v/>
      </c>
      <c r="AO1996" t="str">
        <f t="shared" si="32"/>
        <v/>
      </c>
    </row>
    <row r="1997" spans="1:41" x14ac:dyDescent="0.2">
      <c r="A1997" s="44" t="str">
        <f>IF(COUNTA(B1997)&gt;0,1989,"")</f>
        <v/>
      </c>
      <c r="G1997" s="25" t="str">
        <f t="shared" si="0"/>
        <v/>
      </c>
      <c r="N1997" s="44" t="str">
        <f>IF(COUNTA(B1997)&gt;0,C5,"")</f>
        <v/>
      </c>
      <c r="AO1997" t="str">
        <f t="shared" si="32"/>
        <v/>
      </c>
    </row>
    <row r="1998" spans="1:41" x14ac:dyDescent="0.2">
      <c r="A1998" s="44" t="str">
        <f>IF(COUNTA(B1998)&gt;0,1990,"")</f>
        <v/>
      </c>
      <c r="G1998" s="25" t="str">
        <f t="shared" si="0"/>
        <v/>
      </c>
      <c r="N1998" s="44" t="str">
        <f>IF(COUNTA(B1998)&gt;0,C5,"")</f>
        <v/>
      </c>
      <c r="AO1998" t="str">
        <f t="shared" si="32"/>
        <v/>
      </c>
    </row>
    <row r="1999" spans="1:41" x14ac:dyDescent="0.2">
      <c r="A1999" s="44" t="str">
        <f>IF(COUNTA(B1999)&gt;0,1991,"")</f>
        <v/>
      </c>
      <c r="G1999" s="25" t="str">
        <f t="shared" si="0"/>
        <v/>
      </c>
      <c r="N1999" s="44" t="str">
        <f>IF(COUNTA(B1999)&gt;0,C5,"")</f>
        <v/>
      </c>
      <c r="AO1999" t="str">
        <f t="shared" si="32"/>
        <v/>
      </c>
    </row>
    <row r="2000" spans="1:41" x14ac:dyDescent="0.2">
      <c r="A2000" s="44" t="str">
        <f>IF(COUNTA(B2000)&gt;0,1992,"")</f>
        <v/>
      </c>
      <c r="G2000" s="25" t="str">
        <f t="shared" si="0"/>
        <v/>
      </c>
      <c r="N2000" s="44" t="str">
        <f>IF(COUNTA(B2000)&gt;0,C5,"")</f>
        <v/>
      </c>
      <c r="AO2000" t="str">
        <f t="shared" si="32"/>
        <v/>
      </c>
    </row>
  </sheetData>
  <sheetProtection password="CC1A" sheet="1" formatCells="0" formatColumns="0" formatRows="0" insertRows="0" deleteColumns="0" sort="0" autoFilter="0" pivotTables="0"/>
  <dataConsolidate/>
  <mergeCells count="4">
    <mergeCell ref="B4:F4"/>
    <mergeCell ref="L7:M7"/>
    <mergeCell ref="U7:Z7"/>
    <mergeCell ref="AF7:AL7"/>
  </mergeCells>
  <conditionalFormatting sqref="G1:G10 G315:G1048576">
    <cfRule type="containsErrors" dxfId="8" priority="7">
      <formula>ISERROR(G1)</formula>
    </cfRule>
    <cfRule type="cellIs" dxfId="7" priority="8" operator="equal">
      <formula>#N/A</formula>
    </cfRule>
    <cfRule type="cellIs" dxfId="6" priority="9" operator="equal">
      <formula>0</formula>
    </cfRule>
  </conditionalFormatting>
  <conditionalFormatting sqref="G11:G16">
    <cfRule type="containsErrors" dxfId="5" priority="4">
      <formula>ISERROR(G11)</formula>
    </cfRule>
    <cfRule type="cellIs" dxfId="4" priority="5" operator="equal">
      <formula>#N/A</formula>
    </cfRule>
    <cfRule type="cellIs" dxfId="3" priority="6" operator="equal">
      <formula>0</formula>
    </cfRule>
  </conditionalFormatting>
  <conditionalFormatting sqref="G17:G314">
    <cfRule type="containsErrors" dxfId="2" priority="1">
      <formula>ISERROR(G17)</formula>
    </cfRule>
    <cfRule type="cellIs" dxfId="1" priority="2" operator="equal">
      <formula>#N/A</formula>
    </cfRule>
    <cfRule type="cellIs" dxfId="0" priority="3" operator="equal">
      <formula>0</formula>
    </cfRule>
  </conditionalFormatting>
  <dataValidations count="9">
    <dataValidation type="list" allowBlank="1" showInputMessage="1" showErrorMessage="1" sqref="AE9:AE1048576 AJ9:AJ1048576">
      <formula1>INDIRECT("QUANHUYEN")</formula1>
    </dataValidation>
    <dataValidation type="list" allowBlank="1" showInputMessage="1" showErrorMessage="1" sqref="AB9:AB1048576">
      <formula1>OFFSET(INDIRECT("DANTOC"),0,0,COUNTA(DANTOC),1)</formula1>
    </dataValidation>
    <dataValidation type="list" allowBlank="1" showInputMessage="1" showErrorMessage="1" sqref="J9:J1048576">
      <formula1>OFFSET(INDIRECT("MONTHI"),0,0,COUNTA(MONTHI),1)</formula1>
    </dataValidation>
    <dataValidation type="list" allowBlank="1" showInputMessage="1" showErrorMessage="1" sqref="K9:K1048576">
      <formula1>OFFSET(INDIRECT("CAPDO"),0,0,COUNTA(CAPDO),1)</formula1>
    </dataValidation>
    <dataValidation type="list" allowBlank="1" showInputMessage="1" showErrorMessage="1" sqref="AA9:AA1048576">
      <formula1>"Nam,  Nữ"</formula1>
    </dataValidation>
    <dataValidation type="list" allowBlank="1" showDropDown="1" showInputMessage="1" showErrorMessage="1" sqref="G1:G1048576">
      <formula1>INDIRECT(MANS)</formula1>
    </dataValidation>
    <dataValidation type="list" allowBlank="1" showDropDown="1" showInputMessage="1" showErrorMessage="1" errorTitle="Thông báo" error="Dữ liệu nhập sai so với danh mục vui lòng nhập lại!" sqref="F9:F1048576">
      <formula1>INDIRECT("MANS")</formula1>
    </dataValidation>
    <dataValidation type="list" allowBlank="1" showInputMessage="1" showErrorMessage="1" sqref="AF9:AF1048576 AH9:AH1048576">
      <formula1>"Có,  Không"</formula1>
    </dataValidation>
    <dataValidation type="list" allowBlank="1" showInputMessage="1" showErrorMessage="1" sqref="AK9:AK1048576">
      <formula1>OFFSET(INDIRECT("DICHVU"),0,0,COUNTA(DICHVU),1)</formula1>
    </dataValidation>
  </dataValidations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72"/>
  <sheetViews>
    <sheetView workbookViewId="0"/>
  </sheetViews>
  <sheetFormatPr defaultRowHeight="14.25" x14ac:dyDescent="0.2"/>
  <cols>
    <col min="2" max="2" width="21.875" customWidth="1"/>
    <col min="3" max="3" width="49.375" bestFit="1" customWidth="1"/>
  </cols>
  <sheetData>
    <row r="2" spans="2:3" ht="15" x14ac:dyDescent="0.25">
      <c r="B2" s="26" t="s">
        <v>84</v>
      </c>
      <c r="C2" s="26" t="s">
        <v>85</v>
      </c>
    </row>
    <row r="3" spans="2:3" ht="15" x14ac:dyDescent="0.2">
      <c r="B3" s="34" t="s">
        <v>86</v>
      </c>
      <c r="C3" s="34" t="s">
        <v>87</v>
      </c>
    </row>
    <row r="4" spans="2:3" ht="15" x14ac:dyDescent="0.2">
      <c r="B4" s="34" t="s">
        <v>88</v>
      </c>
      <c r="C4" s="34" t="s">
        <v>89</v>
      </c>
    </row>
    <row r="5" spans="2:3" ht="15" x14ac:dyDescent="0.2">
      <c r="B5" s="34" t="s">
        <v>90</v>
      </c>
      <c r="C5" s="34" t="s">
        <v>91</v>
      </c>
    </row>
    <row r="6" spans="2:3" ht="15" x14ac:dyDescent="0.2">
      <c r="B6" s="34" t="s">
        <v>92</v>
      </c>
      <c r="C6" s="34" t="s">
        <v>93</v>
      </c>
    </row>
    <row r="7" spans="2:3" ht="15" x14ac:dyDescent="0.2">
      <c r="B7" s="34" t="s">
        <v>94</v>
      </c>
      <c r="C7" s="34" t="s">
        <v>95</v>
      </c>
    </row>
    <row r="8" spans="2:3" ht="15" x14ac:dyDescent="0.2">
      <c r="B8" s="34" t="s">
        <v>96</v>
      </c>
      <c r="C8" s="34" t="s">
        <v>97</v>
      </c>
    </row>
    <row r="9" spans="2:3" ht="15" x14ac:dyDescent="0.2">
      <c r="B9" s="34" t="s">
        <v>98</v>
      </c>
      <c r="C9" s="34" t="s">
        <v>99</v>
      </c>
    </row>
    <row r="10" spans="2:3" ht="15" x14ac:dyDescent="0.2">
      <c r="B10" s="34" t="s">
        <v>100</v>
      </c>
      <c r="C10" s="34" t="s">
        <v>101</v>
      </c>
    </row>
    <row r="11" spans="2:3" ht="15" x14ac:dyDescent="0.2">
      <c r="B11" s="34" t="s">
        <v>102</v>
      </c>
      <c r="C11" s="34" t="s">
        <v>103</v>
      </c>
    </row>
    <row r="12" spans="2:3" ht="15" x14ac:dyDescent="0.2">
      <c r="B12" s="34" t="s">
        <v>104</v>
      </c>
      <c r="C12" s="34" t="s">
        <v>105</v>
      </c>
    </row>
    <row r="13" spans="2:3" ht="15" x14ac:dyDescent="0.2">
      <c r="B13" s="34" t="s">
        <v>106</v>
      </c>
      <c r="C13" s="34" t="s">
        <v>107</v>
      </c>
    </row>
    <row r="14" spans="2:3" ht="15" x14ac:dyDescent="0.2">
      <c r="B14" s="34" t="s">
        <v>108</v>
      </c>
      <c r="C14" s="34" t="s">
        <v>109</v>
      </c>
    </row>
    <row r="15" spans="2:3" ht="15" x14ac:dyDescent="0.2">
      <c r="B15" s="34" t="s">
        <v>110</v>
      </c>
      <c r="C15" s="34" t="s">
        <v>111</v>
      </c>
    </row>
    <row r="16" spans="2:3" ht="15" x14ac:dyDescent="0.2">
      <c r="B16" s="34" t="s">
        <v>112</v>
      </c>
      <c r="C16" s="34" t="s">
        <v>113</v>
      </c>
    </row>
    <row r="17" spans="2:3" ht="15" x14ac:dyDescent="0.2">
      <c r="B17" s="34" t="s">
        <v>114</v>
      </c>
      <c r="C17" s="34" t="s">
        <v>115</v>
      </c>
    </row>
    <row r="18" spans="2:3" ht="15" x14ac:dyDescent="0.2">
      <c r="B18" s="34" t="s">
        <v>116</v>
      </c>
      <c r="C18" s="34" t="s">
        <v>117</v>
      </c>
    </row>
    <row r="19" spans="2:3" ht="15" x14ac:dyDescent="0.2">
      <c r="B19" s="34" t="s">
        <v>118</v>
      </c>
      <c r="C19" s="34" t="s">
        <v>119</v>
      </c>
    </row>
    <row r="20" spans="2:3" ht="15" x14ac:dyDescent="0.2">
      <c r="B20" s="34" t="s">
        <v>120</v>
      </c>
      <c r="C20" s="34" t="s">
        <v>121</v>
      </c>
    </row>
    <row r="21" spans="2:3" ht="15" x14ac:dyDescent="0.2">
      <c r="B21" s="34" t="s">
        <v>122</v>
      </c>
      <c r="C21" s="34" t="s">
        <v>123</v>
      </c>
    </row>
    <row r="22" spans="2:3" ht="15" x14ac:dyDescent="0.2">
      <c r="B22" s="34" t="s">
        <v>124</v>
      </c>
      <c r="C22" s="34" t="s">
        <v>125</v>
      </c>
    </row>
    <row r="23" spans="2:3" ht="15" x14ac:dyDescent="0.2">
      <c r="B23" s="34" t="s">
        <v>126</v>
      </c>
      <c r="C23" s="34" t="s">
        <v>127</v>
      </c>
    </row>
    <row r="24" spans="2:3" ht="15" x14ac:dyDescent="0.2">
      <c r="B24" s="34" t="s">
        <v>128</v>
      </c>
      <c r="C24" s="34" t="s">
        <v>129</v>
      </c>
    </row>
    <row r="25" spans="2:3" ht="15" x14ac:dyDescent="0.2">
      <c r="B25" s="34" t="s">
        <v>130</v>
      </c>
      <c r="C25" s="34" t="s">
        <v>131</v>
      </c>
    </row>
    <row r="26" spans="2:3" ht="15" x14ac:dyDescent="0.2">
      <c r="B26" s="34" t="s">
        <v>132</v>
      </c>
      <c r="C26" s="34" t="s">
        <v>133</v>
      </c>
    </row>
    <row r="27" spans="2:3" ht="15" x14ac:dyDescent="0.2">
      <c r="B27" s="34" t="s">
        <v>134</v>
      </c>
      <c r="C27" s="34" t="s">
        <v>135</v>
      </c>
    </row>
    <row r="28" spans="2:3" ht="15" x14ac:dyDescent="0.2">
      <c r="B28" s="34" t="s">
        <v>136</v>
      </c>
      <c r="C28" s="34" t="s">
        <v>137</v>
      </c>
    </row>
    <row r="29" spans="2:3" ht="15" x14ac:dyDescent="0.2">
      <c r="B29" s="34" t="s">
        <v>138</v>
      </c>
      <c r="C29" s="34" t="s">
        <v>139</v>
      </c>
    </row>
    <row r="30" spans="2:3" ht="15" x14ac:dyDescent="0.2">
      <c r="B30" s="34" t="s">
        <v>140</v>
      </c>
      <c r="C30" s="34" t="s">
        <v>141</v>
      </c>
    </row>
    <row r="31" spans="2:3" ht="15" x14ac:dyDescent="0.2">
      <c r="B31" s="34" t="s">
        <v>142</v>
      </c>
      <c r="C31" s="34" t="s">
        <v>143</v>
      </c>
    </row>
    <row r="32" spans="2:3" ht="15" x14ac:dyDescent="0.2">
      <c r="B32" s="34" t="s">
        <v>144</v>
      </c>
      <c r="C32" s="34" t="s">
        <v>145</v>
      </c>
    </row>
    <row r="33" spans="2:3" ht="15" x14ac:dyDescent="0.2">
      <c r="B33" s="34" t="s">
        <v>146</v>
      </c>
      <c r="C33" s="34" t="s">
        <v>147</v>
      </c>
    </row>
    <row r="34" spans="2:3" ht="15" x14ac:dyDescent="0.2">
      <c r="B34" s="34" t="s">
        <v>148</v>
      </c>
      <c r="C34" s="34" t="s">
        <v>149</v>
      </c>
    </row>
    <row r="35" spans="2:3" ht="15" x14ac:dyDescent="0.2">
      <c r="B35" s="34" t="s">
        <v>150</v>
      </c>
      <c r="C35" s="34" t="s">
        <v>151</v>
      </c>
    </row>
    <row r="36" spans="2:3" ht="15" x14ac:dyDescent="0.2">
      <c r="B36" s="34" t="s">
        <v>152</v>
      </c>
      <c r="C36" s="34" t="s">
        <v>153</v>
      </c>
    </row>
    <row r="37" spans="2:3" ht="15" x14ac:dyDescent="0.2">
      <c r="B37" s="34" t="s">
        <v>154</v>
      </c>
      <c r="C37" s="34" t="s">
        <v>155</v>
      </c>
    </row>
    <row r="38" spans="2:3" ht="15" x14ac:dyDescent="0.2">
      <c r="B38" s="34" t="s">
        <v>156</v>
      </c>
      <c r="C38" s="34" t="s">
        <v>157</v>
      </c>
    </row>
    <row r="39" spans="2:3" ht="15" x14ac:dyDescent="0.2">
      <c r="B39" s="34" t="s">
        <v>158</v>
      </c>
      <c r="C39" s="34" t="s">
        <v>159</v>
      </c>
    </row>
    <row r="40" spans="2:3" ht="15" x14ac:dyDescent="0.2">
      <c r="B40" s="34" t="s">
        <v>160</v>
      </c>
      <c r="C40" s="34" t="s">
        <v>161</v>
      </c>
    </row>
    <row r="41" spans="2:3" ht="15" x14ac:dyDescent="0.2">
      <c r="B41" s="34" t="s">
        <v>162</v>
      </c>
      <c r="C41" s="34" t="s">
        <v>163</v>
      </c>
    </row>
    <row r="42" spans="2:3" ht="15" x14ac:dyDescent="0.2">
      <c r="B42" s="34" t="s">
        <v>164</v>
      </c>
      <c r="C42" s="34" t="s">
        <v>165</v>
      </c>
    </row>
    <row r="43" spans="2:3" ht="15" x14ac:dyDescent="0.2">
      <c r="B43" s="34" t="s">
        <v>166</v>
      </c>
      <c r="C43" s="34" t="s">
        <v>167</v>
      </c>
    </row>
    <row r="44" spans="2:3" ht="15" x14ac:dyDescent="0.2">
      <c r="B44" s="34" t="s">
        <v>168</v>
      </c>
      <c r="C44" s="34" t="s">
        <v>169</v>
      </c>
    </row>
    <row r="45" spans="2:3" ht="15" x14ac:dyDescent="0.2">
      <c r="B45" s="34" t="s">
        <v>170</v>
      </c>
      <c r="C45" s="34" t="s">
        <v>171</v>
      </c>
    </row>
    <row r="46" spans="2:3" ht="15" x14ac:dyDescent="0.2">
      <c r="B46" s="34" t="s">
        <v>172</v>
      </c>
      <c r="C46" s="34" t="s">
        <v>173</v>
      </c>
    </row>
    <row r="47" spans="2:3" ht="15" x14ac:dyDescent="0.2">
      <c r="B47" s="34" t="s">
        <v>174</v>
      </c>
      <c r="C47" s="34" t="s">
        <v>175</v>
      </c>
    </row>
    <row r="48" spans="2:3" ht="15" x14ac:dyDescent="0.2">
      <c r="B48" s="34" t="s">
        <v>176</v>
      </c>
      <c r="C48" s="34" t="s">
        <v>177</v>
      </c>
    </row>
    <row r="49" spans="2:3" ht="15" x14ac:dyDescent="0.2">
      <c r="B49" s="34" t="s">
        <v>178</v>
      </c>
      <c r="C49" s="34" t="s">
        <v>179</v>
      </c>
    </row>
    <row r="50" spans="2:3" ht="15" x14ac:dyDescent="0.2">
      <c r="B50" s="34" t="s">
        <v>180</v>
      </c>
      <c r="C50" s="34" t="s">
        <v>181</v>
      </c>
    </row>
    <row r="51" spans="2:3" ht="15" x14ac:dyDescent="0.2">
      <c r="B51" s="34" t="s">
        <v>182</v>
      </c>
      <c r="C51" s="34" t="s">
        <v>183</v>
      </c>
    </row>
    <row r="52" spans="2:3" ht="15" x14ac:dyDescent="0.2">
      <c r="B52" s="34" t="s">
        <v>184</v>
      </c>
      <c r="C52" s="34" t="s">
        <v>185</v>
      </c>
    </row>
    <row r="53" spans="2:3" ht="15" x14ac:dyDescent="0.2">
      <c r="B53" s="34" t="s">
        <v>186</v>
      </c>
      <c r="C53" s="34" t="s">
        <v>187</v>
      </c>
    </row>
    <row r="54" spans="2:3" ht="15" x14ac:dyDescent="0.2">
      <c r="B54" s="34" t="s">
        <v>188</v>
      </c>
      <c r="C54" s="34" t="s">
        <v>189</v>
      </c>
    </row>
    <row r="55" spans="2:3" ht="15" x14ac:dyDescent="0.2">
      <c r="B55" s="34" t="s">
        <v>190</v>
      </c>
      <c r="C55" s="34" t="s">
        <v>191</v>
      </c>
    </row>
    <row r="56" spans="2:3" ht="15" x14ac:dyDescent="0.2">
      <c r="B56" s="34" t="s">
        <v>192</v>
      </c>
      <c r="C56" s="34" t="s">
        <v>193</v>
      </c>
    </row>
    <row r="57" spans="2:3" ht="15" x14ac:dyDescent="0.2">
      <c r="B57" s="34" t="s">
        <v>194</v>
      </c>
      <c r="C57" s="34" t="s">
        <v>195</v>
      </c>
    </row>
    <row r="58" spans="2:3" ht="15" x14ac:dyDescent="0.2">
      <c r="B58" s="34" t="s">
        <v>196</v>
      </c>
      <c r="C58" s="34" t="s">
        <v>197</v>
      </c>
    </row>
    <row r="59" spans="2:3" ht="15" x14ac:dyDescent="0.2">
      <c r="B59" s="34" t="s">
        <v>198</v>
      </c>
      <c r="C59" s="34" t="s">
        <v>199</v>
      </c>
    </row>
    <row r="60" spans="2:3" ht="15" x14ac:dyDescent="0.2">
      <c r="B60" s="34" t="s">
        <v>200</v>
      </c>
      <c r="C60" s="34" t="s">
        <v>201</v>
      </c>
    </row>
    <row r="61" spans="2:3" ht="15" x14ac:dyDescent="0.2">
      <c r="B61" s="34" t="s">
        <v>202</v>
      </c>
      <c r="C61" s="34" t="s">
        <v>203</v>
      </c>
    </row>
    <row r="62" spans="2:3" ht="15" x14ac:dyDescent="0.2">
      <c r="B62" s="34" t="s">
        <v>204</v>
      </c>
      <c r="C62" s="34" t="s">
        <v>205</v>
      </c>
    </row>
    <row r="63" spans="2:3" ht="15" x14ac:dyDescent="0.2">
      <c r="B63" s="34" t="s">
        <v>206</v>
      </c>
      <c r="C63" s="34" t="s">
        <v>207</v>
      </c>
    </row>
    <row r="64" spans="2:3" ht="15" x14ac:dyDescent="0.2">
      <c r="B64" s="34" t="s">
        <v>208</v>
      </c>
      <c r="C64" s="34" t="s">
        <v>135</v>
      </c>
    </row>
    <row r="65" spans="2:3" ht="15" x14ac:dyDescent="0.2">
      <c r="B65" s="34" t="s">
        <v>209</v>
      </c>
      <c r="C65" s="34" t="s">
        <v>210</v>
      </c>
    </row>
    <row r="66" spans="2:3" ht="15" x14ac:dyDescent="0.2">
      <c r="B66" s="34" t="s">
        <v>211</v>
      </c>
      <c r="C66" s="34" t="s">
        <v>212</v>
      </c>
    </row>
    <row r="67" spans="2:3" ht="15" x14ac:dyDescent="0.2">
      <c r="B67" s="34" t="s">
        <v>213</v>
      </c>
      <c r="C67" s="34" t="s">
        <v>214</v>
      </c>
    </row>
    <row r="68" spans="2:3" ht="15" x14ac:dyDescent="0.2">
      <c r="B68" s="34" t="s">
        <v>215</v>
      </c>
      <c r="C68" s="34" t="s">
        <v>216</v>
      </c>
    </row>
    <row r="69" spans="2:3" ht="15" x14ac:dyDescent="0.2">
      <c r="B69" s="34" t="s">
        <v>217</v>
      </c>
      <c r="C69" s="34" t="s">
        <v>218</v>
      </c>
    </row>
    <row r="70" spans="2:3" ht="15" x14ac:dyDescent="0.2">
      <c r="B70" s="34" t="s">
        <v>219</v>
      </c>
      <c r="C70" s="34" t="s">
        <v>220</v>
      </c>
    </row>
    <row r="71" spans="2:3" ht="15" x14ac:dyDescent="0.2">
      <c r="B71" s="34" t="s">
        <v>221</v>
      </c>
      <c r="C71" s="34" t="s">
        <v>222</v>
      </c>
    </row>
    <row r="72" spans="2:3" ht="15" x14ac:dyDescent="0.2">
      <c r="B72" s="34" t="s">
        <v>223</v>
      </c>
      <c r="C72" s="34" t="s">
        <v>224</v>
      </c>
    </row>
    <row r="73" spans="2:3" ht="15" x14ac:dyDescent="0.2">
      <c r="B73" s="34" t="s">
        <v>225</v>
      </c>
      <c r="C73" s="34" t="s">
        <v>226</v>
      </c>
    </row>
    <row r="74" spans="2:3" ht="15" x14ac:dyDescent="0.2">
      <c r="B74" s="34" t="s">
        <v>227</v>
      </c>
      <c r="C74" s="34" t="s">
        <v>228</v>
      </c>
    </row>
    <row r="75" spans="2:3" ht="15" x14ac:dyDescent="0.2">
      <c r="B75" s="34" t="s">
        <v>229</v>
      </c>
      <c r="C75" s="34" t="s">
        <v>230</v>
      </c>
    </row>
    <row r="76" spans="2:3" ht="15" x14ac:dyDescent="0.2">
      <c r="B76" s="34" t="s">
        <v>231</v>
      </c>
      <c r="C76" s="34" t="s">
        <v>232</v>
      </c>
    </row>
    <row r="77" spans="2:3" ht="15" x14ac:dyDescent="0.2">
      <c r="B77" s="34" t="s">
        <v>233</v>
      </c>
      <c r="C77" s="34" t="s">
        <v>234</v>
      </c>
    </row>
    <row r="78" spans="2:3" ht="15" x14ac:dyDescent="0.2">
      <c r="B78" s="34" t="s">
        <v>235</v>
      </c>
      <c r="C78" s="34" t="s">
        <v>236</v>
      </c>
    </row>
    <row r="79" spans="2:3" ht="15" x14ac:dyDescent="0.2">
      <c r="B79" s="34" t="s">
        <v>237</v>
      </c>
      <c r="C79" s="34" t="s">
        <v>238</v>
      </c>
    </row>
    <row r="80" spans="2:3" ht="15" x14ac:dyDescent="0.2">
      <c r="B80" s="34" t="s">
        <v>239</v>
      </c>
      <c r="C80" s="34" t="s">
        <v>240</v>
      </c>
    </row>
    <row r="81" spans="2:3" ht="15" x14ac:dyDescent="0.2">
      <c r="B81" s="34" t="s">
        <v>241</v>
      </c>
      <c r="C81" s="34" t="s">
        <v>242</v>
      </c>
    </row>
    <row r="82" spans="2:3" ht="15" x14ac:dyDescent="0.2">
      <c r="B82" s="34" t="s">
        <v>243</v>
      </c>
      <c r="C82" s="34" t="s">
        <v>244</v>
      </c>
    </row>
    <row r="83" spans="2:3" ht="15" x14ac:dyDescent="0.2">
      <c r="B83" s="34" t="s">
        <v>245</v>
      </c>
      <c r="C83" s="34" t="s">
        <v>246</v>
      </c>
    </row>
    <row r="84" spans="2:3" ht="15" x14ac:dyDescent="0.2">
      <c r="B84" s="34" t="s">
        <v>247</v>
      </c>
      <c r="C84" s="34" t="s">
        <v>248</v>
      </c>
    </row>
    <row r="85" spans="2:3" ht="15" x14ac:dyDescent="0.2">
      <c r="B85" s="34" t="s">
        <v>249</v>
      </c>
      <c r="C85" s="34" t="s">
        <v>250</v>
      </c>
    </row>
    <row r="86" spans="2:3" ht="15" x14ac:dyDescent="0.2">
      <c r="B86" s="34" t="s">
        <v>251</v>
      </c>
      <c r="C86" s="34" t="s">
        <v>252</v>
      </c>
    </row>
    <row r="87" spans="2:3" ht="15" x14ac:dyDescent="0.2">
      <c r="B87" s="34" t="s">
        <v>253</v>
      </c>
      <c r="C87" s="34" t="s">
        <v>254</v>
      </c>
    </row>
    <row r="88" spans="2:3" ht="15" x14ac:dyDescent="0.2">
      <c r="B88" s="34" t="s">
        <v>255</v>
      </c>
      <c r="C88" s="34" t="s">
        <v>256</v>
      </c>
    </row>
    <row r="89" spans="2:3" ht="15" x14ac:dyDescent="0.2">
      <c r="B89" s="34" t="s">
        <v>257</v>
      </c>
      <c r="C89" s="34" t="s">
        <v>258</v>
      </c>
    </row>
    <row r="90" spans="2:3" ht="15" x14ac:dyDescent="0.2">
      <c r="B90" s="34" t="s">
        <v>259</v>
      </c>
      <c r="C90" s="34" t="s">
        <v>260</v>
      </c>
    </row>
    <row r="91" spans="2:3" ht="15" x14ac:dyDescent="0.2">
      <c r="B91" s="34" t="s">
        <v>261</v>
      </c>
      <c r="C91" s="34" t="s">
        <v>262</v>
      </c>
    </row>
    <row r="92" spans="2:3" ht="15" x14ac:dyDescent="0.2">
      <c r="B92" s="34" t="s">
        <v>263</v>
      </c>
      <c r="C92" s="34" t="s">
        <v>264</v>
      </c>
    </row>
    <row r="93" spans="2:3" ht="15" x14ac:dyDescent="0.2">
      <c r="B93" s="34" t="s">
        <v>265</v>
      </c>
      <c r="C93" s="34" t="s">
        <v>266</v>
      </c>
    </row>
    <row r="94" spans="2:3" ht="15" x14ac:dyDescent="0.2">
      <c r="B94" s="34" t="s">
        <v>267</v>
      </c>
      <c r="C94" s="34" t="s">
        <v>268</v>
      </c>
    </row>
    <row r="95" spans="2:3" ht="15" x14ac:dyDescent="0.2">
      <c r="B95" s="34" t="s">
        <v>269</v>
      </c>
      <c r="C95" s="34" t="s">
        <v>270</v>
      </c>
    </row>
    <row r="96" spans="2:3" ht="15" x14ac:dyDescent="0.2">
      <c r="B96" s="34" t="s">
        <v>271</v>
      </c>
      <c r="C96" s="34" t="s">
        <v>272</v>
      </c>
    </row>
    <row r="97" spans="2:3" ht="15" x14ac:dyDescent="0.2">
      <c r="B97" s="34" t="s">
        <v>273</v>
      </c>
      <c r="C97" s="34" t="s">
        <v>274</v>
      </c>
    </row>
    <row r="98" spans="2:3" ht="15" x14ac:dyDescent="0.2">
      <c r="B98" s="34" t="s">
        <v>275</v>
      </c>
      <c r="C98" s="34" t="s">
        <v>276</v>
      </c>
    </row>
    <row r="99" spans="2:3" ht="15" x14ac:dyDescent="0.2">
      <c r="B99" s="34" t="s">
        <v>277</v>
      </c>
      <c r="C99" s="34" t="s">
        <v>278</v>
      </c>
    </row>
    <row r="100" spans="2:3" ht="15" x14ac:dyDescent="0.2">
      <c r="B100" s="34" t="s">
        <v>279</v>
      </c>
      <c r="C100" s="34" t="s">
        <v>280</v>
      </c>
    </row>
    <row r="101" spans="2:3" ht="15" x14ac:dyDescent="0.2">
      <c r="B101" s="34" t="s">
        <v>281</v>
      </c>
      <c r="C101" s="34" t="s">
        <v>282</v>
      </c>
    </row>
    <row r="102" spans="2:3" ht="15" x14ac:dyDescent="0.2">
      <c r="B102" s="34" t="s">
        <v>283</v>
      </c>
      <c r="C102" s="34" t="s">
        <v>284</v>
      </c>
    </row>
    <row r="103" spans="2:3" ht="15" x14ac:dyDescent="0.2">
      <c r="B103" s="34" t="s">
        <v>285</v>
      </c>
      <c r="C103" s="34" t="s">
        <v>286</v>
      </c>
    </row>
    <row r="104" spans="2:3" ht="15" x14ac:dyDescent="0.2">
      <c r="B104" s="34" t="s">
        <v>287</v>
      </c>
      <c r="C104" s="34" t="s">
        <v>288</v>
      </c>
    </row>
    <row r="105" spans="2:3" ht="15" x14ac:dyDescent="0.2">
      <c r="B105" s="34" t="s">
        <v>289</v>
      </c>
      <c r="C105" s="34" t="s">
        <v>290</v>
      </c>
    </row>
    <row r="106" spans="2:3" ht="15" x14ac:dyDescent="0.2">
      <c r="B106" s="34" t="s">
        <v>291</v>
      </c>
      <c r="C106" s="34" t="s">
        <v>292</v>
      </c>
    </row>
    <row r="107" spans="2:3" ht="15" x14ac:dyDescent="0.2">
      <c r="B107" s="34" t="s">
        <v>293</v>
      </c>
      <c r="C107" s="34" t="s">
        <v>294</v>
      </c>
    </row>
    <row r="108" spans="2:3" ht="15" x14ac:dyDescent="0.2">
      <c r="B108" s="34" t="s">
        <v>295</v>
      </c>
      <c r="C108" s="34" t="s">
        <v>296</v>
      </c>
    </row>
    <row r="109" spans="2:3" ht="15" x14ac:dyDescent="0.2">
      <c r="B109" s="34" t="s">
        <v>297</v>
      </c>
      <c r="C109" s="34" t="s">
        <v>298</v>
      </c>
    </row>
    <row r="110" spans="2:3" ht="15" x14ac:dyDescent="0.2">
      <c r="B110" s="34" t="s">
        <v>299</v>
      </c>
      <c r="C110" s="34" t="s">
        <v>300</v>
      </c>
    </row>
    <row r="111" spans="2:3" ht="15" x14ac:dyDescent="0.2">
      <c r="B111" s="34" t="s">
        <v>301</v>
      </c>
      <c r="C111" s="34" t="s">
        <v>302</v>
      </c>
    </row>
    <row r="112" spans="2:3" ht="15" x14ac:dyDescent="0.2">
      <c r="B112" s="34" t="s">
        <v>303</v>
      </c>
      <c r="C112" s="34" t="s">
        <v>304</v>
      </c>
    </row>
    <row r="113" spans="2:3" ht="15" x14ac:dyDescent="0.2">
      <c r="B113" s="34" t="s">
        <v>305</v>
      </c>
      <c r="C113" s="34" t="s">
        <v>306</v>
      </c>
    </row>
    <row r="114" spans="2:3" ht="15" x14ac:dyDescent="0.2">
      <c r="B114" s="34" t="s">
        <v>307</v>
      </c>
      <c r="C114" s="34" t="s">
        <v>308</v>
      </c>
    </row>
    <row r="115" spans="2:3" ht="15" x14ac:dyDescent="0.2">
      <c r="B115" s="34" t="s">
        <v>309</v>
      </c>
      <c r="C115" s="34" t="s">
        <v>310</v>
      </c>
    </row>
    <row r="116" spans="2:3" ht="15" x14ac:dyDescent="0.2">
      <c r="B116" s="34" t="s">
        <v>311</v>
      </c>
      <c r="C116" s="34" t="s">
        <v>312</v>
      </c>
    </row>
    <row r="117" spans="2:3" ht="15" x14ac:dyDescent="0.2">
      <c r="B117" s="34" t="s">
        <v>313</v>
      </c>
      <c r="C117" s="34" t="s">
        <v>314</v>
      </c>
    </row>
    <row r="118" spans="2:3" ht="15" x14ac:dyDescent="0.2">
      <c r="B118" s="34" t="s">
        <v>315</v>
      </c>
      <c r="C118" s="34" t="s">
        <v>316</v>
      </c>
    </row>
    <row r="119" spans="2:3" ht="15" x14ac:dyDescent="0.2">
      <c r="B119" s="34" t="s">
        <v>317</v>
      </c>
      <c r="C119" s="34" t="s">
        <v>318</v>
      </c>
    </row>
    <row r="120" spans="2:3" ht="15" x14ac:dyDescent="0.2">
      <c r="B120" s="34" t="s">
        <v>319</v>
      </c>
      <c r="C120" s="34" t="s">
        <v>320</v>
      </c>
    </row>
    <row r="121" spans="2:3" ht="15" x14ac:dyDescent="0.2">
      <c r="B121" s="34" t="s">
        <v>321</v>
      </c>
      <c r="C121" s="34" t="s">
        <v>322</v>
      </c>
    </row>
    <row r="122" spans="2:3" ht="15" x14ac:dyDescent="0.2">
      <c r="B122" s="34" t="s">
        <v>323</v>
      </c>
      <c r="C122" s="34" t="s">
        <v>324</v>
      </c>
    </row>
    <row r="123" spans="2:3" ht="15" x14ac:dyDescent="0.2">
      <c r="B123" s="34" t="s">
        <v>325</v>
      </c>
      <c r="C123" s="34" t="s">
        <v>326</v>
      </c>
    </row>
    <row r="124" spans="2:3" ht="15" x14ac:dyDescent="0.25">
      <c r="B124" s="35" t="s">
        <v>327</v>
      </c>
      <c r="C124" s="34" t="s">
        <v>328</v>
      </c>
    </row>
    <row r="125" spans="2:3" ht="15" x14ac:dyDescent="0.25">
      <c r="B125" s="35" t="s">
        <v>329</v>
      </c>
      <c r="C125" s="34" t="s">
        <v>330</v>
      </c>
    </row>
    <row r="126" spans="2:3" ht="15" x14ac:dyDescent="0.25">
      <c r="B126" s="35" t="s">
        <v>331</v>
      </c>
      <c r="C126" s="34" t="s">
        <v>332</v>
      </c>
    </row>
    <row r="127" spans="2:3" ht="15" x14ac:dyDescent="0.25">
      <c r="B127" s="35" t="s">
        <v>333</v>
      </c>
      <c r="C127" s="34" t="s">
        <v>334</v>
      </c>
    </row>
    <row r="128" spans="2:3" ht="15" x14ac:dyDescent="0.25">
      <c r="B128" s="35" t="s">
        <v>335</v>
      </c>
      <c r="C128" s="34" t="s">
        <v>336</v>
      </c>
    </row>
    <row r="129" spans="2:3" ht="15" x14ac:dyDescent="0.25">
      <c r="B129" s="35" t="s">
        <v>337</v>
      </c>
      <c r="C129" s="34" t="s">
        <v>338</v>
      </c>
    </row>
    <row r="130" spans="2:3" ht="15" x14ac:dyDescent="0.25">
      <c r="B130" s="35" t="s">
        <v>339</v>
      </c>
      <c r="C130" s="34" t="s">
        <v>340</v>
      </c>
    </row>
    <row r="131" spans="2:3" ht="15" x14ac:dyDescent="0.25">
      <c r="B131" s="35" t="s">
        <v>341</v>
      </c>
      <c r="C131" s="34" t="s">
        <v>342</v>
      </c>
    </row>
    <row r="132" spans="2:3" ht="15" x14ac:dyDescent="0.25">
      <c r="B132" s="35" t="s">
        <v>343</v>
      </c>
      <c r="C132" s="34" t="s">
        <v>344</v>
      </c>
    </row>
    <row r="133" spans="2:3" ht="15" x14ac:dyDescent="0.25">
      <c r="B133" s="35" t="s">
        <v>345</v>
      </c>
      <c r="C133" s="34" t="s">
        <v>346</v>
      </c>
    </row>
    <row r="134" spans="2:3" ht="15" x14ac:dyDescent="0.25">
      <c r="B134" s="35" t="s">
        <v>347</v>
      </c>
      <c r="C134" s="34" t="s">
        <v>348</v>
      </c>
    </row>
    <row r="135" spans="2:3" ht="15" x14ac:dyDescent="0.25">
      <c r="B135" s="35" t="s">
        <v>349</v>
      </c>
      <c r="C135" s="34" t="s">
        <v>350</v>
      </c>
    </row>
    <row r="136" spans="2:3" ht="15" x14ac:dyDescent="0.25">
      <c r="B136" s="35" t="s">
        <v>351</v>
      </c>
      <c r="C136" s="34" t="s">
        <v>352</v>
      </c>
    </row>
    <row r="137" spans="2:3" ht="15" x14ac:dyDescent="0.25">
      <c r="B137" s="35" t="s">
        <v>353</v>
      </c>
      <c r="C137" s="34" t="s">
        <v>354</v>
      </c>
    </row>
    <row r="138" spans="2:3" ht="15" x14ac:dyDescent="0.25">
      <c r="B138" s="35" t="s">
        <v>355</v>
      </c>
      <c r="C138" s="34" t="s">
        <v>356</v>
      </c>
    </row>
    <row r="139" spans="2:3" ht="15" x14ac:dyDescent="0.25">
      <c r="B139" s="35" t="s">
        <v>357</v>
      </c>
      <c r="C139" s="34" t="s">
        <v>358</v>
      </c>
    </row>
    <row r="140" spans="2:3" ht="15" x14ac:dyDescent="0.25">
      <c r="B140" s="35" t="s">
        <v>359</v>
      </c>
      <c r="C140" s="34" t="s">
        <v>360</v>
      </c>
    </row>
    <row r="141" spans="2:3" ht="15" x14ac:dyDescent="0.25">
      <c r="B141" s="35" t="s">
        <v>361</v>
      </c>
      <c r="C141" s="34" t="s">
        <v>362</v>
      </c>
    </row>
    <row r="142" spans="2:3" ht="15" x14ac:dyDescent="0.25">
      <c r="B142" s="35" t="s">
        <v>363</v>
      </c>
      <c r="C142" s="34" t="s">
        <v>364</v>
      </c>
    </row>
    <row r="143" spans="2:3" ht="15" x14ac:dyDescent="0.25">
      <c r="B143" s="35" t="s">
        <v>365</v>
      </c>
      <c r="C143" s="34" t="s">
        <v>366</v>
      </c>
    </row>
    <row r="144" spans="2:3" ht="15" x14ac:dyDescent="0.25">
      <c r="B144" s="35" t="s">
        <v>367</v>
      </c>
      <c r="C144" s="34" t="s">
        <v>368</v>
      </c>
    </row>
    <row r="145" spans="2:3" ht="15" x14ac:dyDescent="0.25">
      <c r="B145" s="35" t="s">
        <v>369</v>
      </c>
      <c r="C145" s="34" t="s">
        <v>370</v>
      </c>
    </row>
    <row r="146" spans="2:3" ht="15" x14ac:dyDescent="0.25">
      <c r="B146" s="35" t="s">
        <v>371</v>
      </c>
      <c r="C146" s="34" t="s">
        <v>372</v>
      </c>
    </row>
    <row r="147" spans="2:3" ht="15" x14ac:dyDescent="0.25">
      <c r="B147" s="35" t="s">
        <v>373</v>
      </c>
      <c r="C147" s="34" t="s">
        <v>374</v>
      </c>
    </row>
    <row r="148" spans="2:3" ht="15" x14ac:dyDescent="0.25">
      <c r="B148" s="35" t="s">
        <v>375</v>
      </c>
      <c r="C148" s="34" t="s">
        <v>376</v>
      </c>
    </row>
    <row r="149" spans="2:3" ht="15" x14ac:dyDescent="0.25">
      <c r="B149" s="35" t="s">
        <v>377</v>
      </c>
      <c r="C149" s="34" t="s">
        <v>378</v>
      </c>
    </row>
    <row r="150" spans="2:3" ht="15" x14ac:dyDescent="0.25">
      <c r="B150" s="35" t="s">
        <v>379</v>
      </c>
      <c r="C150" s="34" t="s">
        <v>380</v>
      </c>
    </row>
    <row r="151" spans="2:3" ht="15" x14ac:dyDescent="0.25">
      <c r="B151" s="35" t="s">
        <v>381</v>
      </c>
      <c r="C151" s="34" t="s">
        <v>382</v>
      </c>
    </row>
    <row r="152" spans="2:3" ht="15" x14ac:dyDescent="0.25">
      <c r="B152" s="35" t="s">
        <v>383</v>
      </c>
      <c r="C152" s="34" t="s">
        <v>384</v>
      </c>
    </row>
    <row r="153" spans="2:3" ht="15" x14ac:dyDescent="0.25">
      <c r="B153" s="35" t="s">
        <v>385</v>
      </c>
      <c r="C153" s="34" t="s">
        <v>386</v>
      </c>
    </row>
    <row r="154" spans="2:3" ht="15" x14ac:dyDescent="0.25">
      <c r="B154" s="35" t="s">
        <v>387</v>
      </c>
      <c r="C154" s="34" t="s">
        <v>388</v>
      </c>
    </row>
    <row r="155" spans="2:3" ht="15" x14ac:dyDescent="0.25">
      <c r="B155" s="35" t="s">
        <v>389</v>
      </c>
      <c r="C155" s="34" t="s">
        <v>390</v>
      </c>
    </row>
    <row r="156" spans="2:3" ht="15" x14ac:dyDescent="0.25">
      <c r="B156" s="35" t="s">
        <v>391</v>
      </c>
      <c r="C156" s="34" t="s">
        <v>392</v>
      </c>
    </row>
    <row r="157" spans="2:3" ht="15" x14ac:dyDescent="0.25">
      <c r="B157" s="35" t="s">
        <v>393</v>
      </c>
      <c r="C157" s="34" t="s">
        <v>394</v>
      </c>
    </row>
    <row r="158" spans="2:3" ht="15" x14ac:dyDescent="0.25">
      <c r="B158" s="35" t="s">
        <v>395</v>
      </c>
      <c r="C158" s="34" t="s">
        <v>396</v>
      </c>
    </row>
    <row r="159" spans="2:3" ht="15" x14ac:dyDescent="0.25">
      <c r="B159" s="35" t="s">
        <v>397</v>
      </c>
      <c r="C159" s="34" t="s">
        <v>398</v>
      </c>
    </row>
    <row r="160" spans="2:3" ht="15" x14ac:dyDescent="0.25">
      <c r="B160" s="35" t="s">
        <v>399</v>
      </c>
      <c r="C160" s="34" t="s">
        <v>400</v>
      </c>
    </row>
    <row r="161" spans="2:3" ht="15" x14ac:dyDescent="0.25">
      <c r="B161" s="35" t="s">
        <v>401</v>
      </c>
      <c r="C161" s="34" t="s">
        <v>402</v>
      </c>
    </row>
    <row r="162" spans="2:3" ht="15" x14ac:dyDescent="0.25">
      <c r="B162" s="35" t="s">
        <v>403</v>
      </c>
      <c r="C162" s="34" t="s">
        <v>404</v>
      </c>
    </row>
    <row r="163" spans="2:3" ht="15" x14ac:dyDescent="0.25">
      <c r="B163" s="35" t="s">
        <v>405</v>
      </c>
      <c r="C163" s="34" t="s">
        <v>406</v>
      </c>
    </row>
    <row r="164" spans="2:3" ht="15" x14ac:dyDescent="0.25">
      <c r="B164" s="35" t="s">
        <v>407</v>
      </c>
      <c r="C164" s="34" t="s">
        <v>408</v>
      </c>
    </row>
    <row r="165" spans="2:3" ht="15" x14ac:dyDescent="0.25">
      <c r="B165" s="35" t="s">
        <v>409</v>
      </c>
      <c r="C165" s="34" t="s">
        <v>410</v>
      </c>
    </row>
    <row r="166" spans="2:3" ht="15" x14ac:dyDescent="0.25">
      <c r="B166" s="35" t="s">
        <v>411</v>
      </c>
      <c r="C166" s="34" t="s">
        <v>412</v>
      </c>
    </row>
    <row r="167" spans="2:3" ht="15" x14ac:dyDescent="0.25">
      <c r="B167" s="35" t="s">
        <v>413</v>
      </c>
      <c r="C167" s="34" t="s">
        <v>414</v>
      </c>
    </row>
    <row r="168" spans="2:3" ht="15" x14ac:dyDescent="0.25">
      <c r="B168" s="35" t="s">
        <v>415</v>
      </c>
      <c r="C168" s="34" t="s">
        <v>416</v>
      </c>
    </row>
    <row r="169" spans="2:3" ht="15" x14ac:dyDescent="0.25">
      <c r="B169" s="35" t="s">
        <v>417</v>
      </c>
      <c r="C169" s="34" t="s">
        <v>418</v>
      </c>
    </row>
    <row r="170" spans="2:3" ht="15" x14ac:dyDescent="0.25">
      <c r="B170" s="35" t="s">
        <v>419</v>
      </c>
      <c r="C170" s="34" t="s">
        <v>420</v>
      </c>
    </row>
    <row r="171" spans="2:3" ht="15" x14ac:dyDescent="0.25">
      <c r="B171" s="35" t="s">
        <v>421</v>
      </c>
      <c r="C171" s="34" t="s">
        <v>422</v>
      </c>
    </row>
    <row r="172" spans="2:3" ht="15" x14ac:dyDescent="0.25">
      <c r="B172" s="35" t="s">
        <v>423</v>
      </c>
      <c r="C172" s="34" t="s">
        <v>424</v>
      </c>
    </row>
    <row r="173" spans="2:3" ht="15" x14ac:dyDescent="0.25">
      <c r="B173" s="35" t="s">
        <v>425</v>
      </c>
      <c r="C173" s="34" t="s">
        <v>426</v>
      </c>
    </row>
    <row r="174" spans="2:3" ht="15" x14ac:dyDescent="0.25">
      <c r="B174" s="35" t="s">
        <v>427</v>
      </c>
      <c r="C174" s="34" t="s">
        <v>428</v>
      </c>
    </row>
    <row r="175" spans="2:3" ht="15" x14ac:dyDescent="0.25">
      <c r="B175" s="35" t="s">
        <v>429</v>
      </c>
      <c r="C175" s="34" t="s">
        <v>430</v>
      </c>
    </row>
    <row r="176" spans="2:3" ht="15" x14ac:dyDescent="0.25">
      <c r="B176" s="35" t="s">
        <v>431</v>
      </c>
      <c r="C176" s="34" t="s">
        <v>432</v>
      </c>
    </row>
    <row r="177" spans="2:3" ht="15" x14ac:dyDescent="0.25">
      <c r="B177" s="35" t="s">
        <v>433</v>
      </c>
      <c r="C177" s="34" t="s">
        <v>434</v>
      </c>
    </row>
    <row r="178" spans="2:3" ht="15" x14ac:dyDescent="0.25">
      <c r="B178" s="35" t="s">
        <v>435</v>
      </c>
      <c r="C178" s="34" t="s">
        <v>436</v>
      </c>
    </row>
    <row r="179" spans="2:3" ht="15" x14ac:dyDescent="0.25">
      <c r="B179" s="35" t="s">
        <v>437</v>
      </c>
      <c r="C179" s="34" t="s">
        <v>438</v>
      </c>
    </row>
    <row r="180" spans="2:3" ht="15" x14ac:dyDescent="0.25">
      <c r="B180" s="35" t="s">
        <v>439</v>
      </c>
      <c r="C180" s="34" t="s">
        <v>440</v>
      </c>
    </row>
    <row r="181" spans="2:3" ht="15" x14ac:dyDescent="0.25">
      <c r="B181" s="35" t="s">
        <v>441</v>
      </c>
      <c r="C181" s="34" t="s">
        <v>442</v>
      </c>
    </row>
    <row r="182" spans="2:3" ht="15" x14ac:dyDescent="0.25">
      <c r="B182" s="35" t="s">
        <v>443</v>
      </c>
      <c r="C182" s="34" t="s">
        <v>444</v>
      </c>
    </row>
    <row r="183" spans="2:3" ht="15" x14ac:dyDescent="0.25">
      <c r="B183" s="35" t="s">
        <v>445</v>
      </c>
      <c r="C183" s="34" t="s">
        <v>446</v>
      </c>
    </row>
    <row r="184" spans="2:3" ht="15" x14ac:dyDescent="0.25">
      <c r="B184" s="35" t="s">
        <v>447</v>
      </c>
      <c r="C184" s="34" t="s">
        <v>448</v>
      </c>
    </row>
    <row r="185" spans="2:3" ht="15" x14ac:dyDescent="0.25">
      <c r="B185" s="35" t="s">
        <v>449</v>
      </c>
      <c r="C185" s="34" t="s">
        <v>450</v>
      </c>
    </row>
    <row r="186" spans="2:3" ht="15" x14ac:dyDescent="0.25">
      <c r="B186" s="35" t="s">
        <v>451</v>
      </c>
      <c r="C186" s="34" t="s">
        <v>452</v>
      </c>
    </row>
    <row r="187" spans="2:3" ht="15" x14ac:dyDescent="0.25">
      <c r="B187" s="35" t="s">
        <v>453</v>
      </c>
      <c r="C187" s="34" t="s">
        <v>454</v>
      </c>
    </row>
    <row r="188" spans="2:3" ht="15" x14ac:dyDescent="0.25">
      <c r="B188" s="35" t="s">
        <v>455</v>
      </c>
      <c r="C188" s="34" t="s">
        <v>456</v>
      </c>
    </row>
    <row r="189" spans="2:3" ht="15" x14ac:dyDescent="0.25">
      <c r="B189" s="35" t="s">
        <v>457</v>
      </c>
      <c r="C189" s="34" t="s">
        <v>458</v>
      </c>
    </row>
    <row r="190" spans="2:3" ht="15" x14ac:dyDescent="0.25">
      <c r="B190" s="35" t="s">
        <v>459</v>
      </c>
      <c r="C190" s="34" t="s">
        <v>460</v>
      </c>
    </row>
    <row r="191" spans="2:3" ht="15" x14ac:dyDescent="0.25">
      <c r="B191" s="35" t="s">
        <v>461</v>
      </c>
      <c r="C191" s="34" t="s">
        <v>462</v>
      </c>
    </row>
    <row r="192" spans="2:3" ht="15" x14ac:dyDescent="0.25">
      <c r="B192" s="35" t="s">
        <v>463</v>
      </c>
      <c r="C192" s="34" t="s">
        <v>464</v>
      </c>
    </row>
    <row r="193" spans="2:3" ht="15" x14ac:dyDescent="0.25">
      <c r="B193" s="35" t="s">
        <v>465</v>
      </c>
      <c r="C193" s="34" t="s">
        <v>466</v>
      </c>
    </row>
    <row r="194" spans="2:3" ht="15" x14ac:dyDescent="0.25">
      <c r="B194" s="35" t="s">
        <v>467</v>
      </c>
      <c r="C194" s="34" t="s">
        <v>468</v>
      </c>
    </row>
    <row r="195" spans="2:3" ht="15" x14ac:dyDescent="0.25">
      <c r="B195" s="35" t="s">
        <v>469</v>
      </c>
      <c r="C195" s="34" t="s">
        <v>470</v>
      </c>
    </row>
    <row r="196" spans="2:3" ht="15" x14ac:dyDescent="0.25">
      <c r="B196" s="35" t="s">
        <v>471</v>
      </c>
      <c r="C196" s="34" t="s">
        <v>472</v>
      </c>
    </row>
    <row r="197" spans="2:3" ht="15" x14ac:dyDescent="0.25">
      <c r="B197" s="35" t="s">
        <v>473</v>
      </c>
      <c r="C197" s="34" t="s">
        <v>474</v>
      </c>
    </row>
    <row r="198" spans="2:3" ht="15" x14ac:dyDescent="0.25">
      <c r="B198" s="35" t="s">
        <v>475</v>
      </c>
      <c r="C198" s="34" t="s">
        <v>476</v>
      </c>
    </row>
    <row r="199" spans="2:3" ht="15" x14ac:dyDescent="0.25">
      <c r="B199" s="35" t="s">
        <v>477</v>
      </c>
      <c r="C199" s="34" t="s">
        <v>478</v>
      </c>
    </row>
    <row r="200" spans="2:3" ht="15" x14ac:dyDescent="0.25">
      <c r="B200" s="35" t="s">
        <v>479</v>
      </c>
      <c r="C200" s="34" t="s">
        <v>480</v>
      </c>
    </row>
    <row r="201" spans="2:3" ht="15" x14ac:dyDescent="0.25">
      <c r="B201" s="35" t="s">
        <v>481</v>
      </c>
      <c r="C201" s="34" t="s">
        <v>482</v>
      </c>
    </row>
    <row r="202" spans="2:3" ht="15" x14ac:dyDescent="0.25">
      <c r="B202" s="35" t="s">
        <v>483</v>
      </c>
      <c r="C202" s="34" t="s">
        <v>484</v>
      </c>
    </row>
    <row r="203" spans="2:3" ht="15" x14ac:dyDescent="0.25">
      <c r="B203" s="35" t="s">
        <v>485</v>
      </c>
      <c r="C203" s="34" t="s">
        <v>486</v>
      </c>
    </row>
    <row r="204" spans="2:3" ht="15" x14ac:dyDescent="0.25">
      <c r="B204" s="35" t="s">
        <v>487</v>
      </c>
      <c r="C204" s="34" t="s">
        <v>488</v>
      </c>
    </row>
    <row r="205" spans="2:3" ht="15" x14ac:dyDescent="0.25">
      <c r="B205" s="35" t="s">
        <v>489</v>
      </c>
      <c r="C205" s="34" t="s">
        <v>490</v>
      </c>
    </row>
    <row r="206" spans="2:3" ht="15" x14ac:dyDescent="0.25">
      <c r="B206" s="35" t="s">
        <v>491</v>
      </c>
      <c r="C206" s="34" t="s">
        <v>492</v>
      </c>
    </row>
    <row r="207" spans="2:3" ht="15" x14ac:dyDescent="0.25">
      <c r="B207" s="35" t="s">
        <v>493</v>
      </c>
      <c r="C207" s="34" t="s">
        <v>494</v>
      </c>
    </row>
    <row r="208" spans="2:3" ht="15" x14ac:dyDescent="0.25">
      <c r="B208" s="35" t="s">
        <v>495</v>
      </c>
      <c r="C208" s="34" t="s">
        <v>496</v>
      </c>
    </row>
    <row r="209" spans="2:3" ht="15" x14ac:dyDescent="0.25">
      <c r="B209" s="35" t="s">
        <v>497</v>
      </c>
      <c r="C209" s="34" t="s">
        <v>498</v>
      </c>
    </row>
    <row r="210" spans="2:3" ht="15" x14ac:dyDescent="0.25">
      <c r="B210" s="35" t="s">
        <v>499</v>
      </c>
      <c r="C210" s="34" t="s">
        <v>500</v>
      </c>
    </row>
    <row r="211" spans="2:3" ht="15" x14ac:dyDescent="0.25">
      <c r="B211" s="35" t="s">
        <v>501</v>
      </c>
      <c r="C211" s="34" t="s">
        <v>502</v>
      </c>
    </row>
    <row r="212" spans="2:3" ht="15" x14ac:dyDescent="0.25">
      <c r="B212" s="35" t="s">
        <v>503</v>
      </c>
      <c r="C212" s="34" t="s">
        <v>504</v>
      </c>
    </row>
    <row r="213" spans="2:3" ht="15" x14ac:dyDescent="0.25">
      <c r="B213" s="35" t="s">
        <v>505</v>
      </c>
      <c r="C213" s="34" t="s">
        <v>506</v>
      </c>
    </row>
    <row r="214" spans="2:3" ht="15" x14ac:dyDescent="0.25">
      <c r="B214" s="35" t="s">
        <v>507</v>
      </c>
      <c r="C214" s="34" t="s">
        <v>508</v>
      </c>
    </row>
    <row r="215" spans="2:3" ht="15" x14ac:dyDescent="0.25">
      <c r="B215" s="35" t="s">
        <v>509</v>
      </c>
      <c r="C215" s="34" t="s">
        <v>510</v>
      </c>
    </row>
    <row r="216" spans="2:3" ht="15" x14ac:dyDescent="0.25">
      <c r="B216" s="35" t="s">
        <v>511</v>
      </c>
      <c r="C216" s="34" t="s">
        <v>512</v>
      </c>
    </row>
    <row r="217" spans="2:3" ht="15" x14ac:dyDescent="0.25">
      <c r="B217" s="35" t="s">
        <v>513</v>
      </c>
      <c r="C217" s="34" t="s">
        <v>185</v>
      </c>
    </row>
    <row r="218" spans="2:3" ht="15" x14ac:dyDescent="0.25">
      <c r="B218" s="35" t="s">
        <v>514</v>
      </c>
      <c r="C218" s="34" t="s">
        <v>515</v>
      </c>
    </row>
    <row r="219" spans="2:3" ht="15" x14ac:dyDescent="0.25">
      <c r="B219" s="35" t="s">
        <v>516</v>
      </c>
      <c r="C219" s="34" t="s">
        <v>517</v>
      </c>
    </row>
    <row r="220" spans="2:3" ht="15" x14ac:dyDescent="0.25">
      <c r="B220" s="35" t="s">
        <v>518</v>
      </c>
      <c r="C220" s="34" t="s">
        <v>519</v>
      </c>
    </row>
    <row r="221" spans="2:3" ht="15" x14ac:dyDescent="0.25">
      <c r="B221" s="35" t="s">
        <v>0</v>
      </c>
      <c r="C221" s="34" t="s">
        <v>520</v>
      </c>
    </row>
    <row r="222" spans="2:3" ht="15" x14ac:dyDescent="0.25">
      <c r="B222" s="35" t="s">
        <v>521</v>
      </c>
      <c r="C222" s="34" t="s">
        <v>522</v>
      </c>
    </row>
    <row r="223" spans="2:3" ht="15" x14ac:dyDescent="0.25">
      <c r="B223" s="35" t="s">
        <v>523</v>
      </c>
      <c r="C223" s="34" t="s">
        <v>524</v>
      </c>
    </row>
    <row r="224" spans="2:3" ht="15" x14ac:dyDescent="0.25">
      <c r="B224" s="35" t="s">
        <v>525</v>
      </c>
      <c r="C224" s="34" t="s">
        <v>526</v>
      </c>
    </row>
    <row r="225" spans="2:3" ht="15" x14ac:dyDescent="0.25">
      <c r="B225" s="35" t="s">
        <v>527</v>
      </c>
      <c r="C225" s="34" t="s">
        <v>528</v>
      </c>
    </row>
    <row r="226" spans="2:3" ht="15" x14ac:dyDescent="0.25">
      <c r="B226" s="35" t="s">
        <v>529</v>
      </c>
      <c r="C226" s="34" t="s">
        <v>530</v>
      </c>
    </row>
    <row r="227" spans="2:3" ht="15" x14ac:dyDescent="0.25">
      <c r="B227" s="35" t="s">
        <v>531</v>
      </c>
      <c r="C227" s="34" t="s">
        <v>532</v>
      </c>
    </row>
    <row r="228" spans="2:3" ht="15" x14ac:dyDescent="0.25">
      <c r="B228" s="35" t="s">
        <v>533</v>
      </c>
      <c r="C228" s="34" t="s">
        <v>534</v>
      </c>
    </row>
    <row r="229" spans="2:3" ht="15" x14ac:dyDescent="0.25">
      <c r="B229" s="35" t="s">
        <v>535</v>
      </c>
      <c r="C229" s="34" t="s">
        <v>536</v>
      </c>
    </row>
    <row r="230" spans="2:3" ht="15" x14ac:dyDescent="0.25">
      <c r="B230" s="35" t="s">
        <v>537</v>
      </c>
      <c r="C230" s="34" t="s">
        <v>538</v>
      </c>
    </row>
    <row r="231" spans="2:3" ht="15" x14ac:dyDescent="0.25">
      <c r="B231" s="35" t="s">
        <v>539</v>
      </c>
      <c r="C231" s="34" t="s">
        <v>540</v>
      </c>
    </row>
    <row r="232" spans="2:3" ht="15" x14ac:dyDescent="0.25">
      <c r="B232" s="35" t="s">
        <v>541</v>
      </c>
      <c r="C232" s="34" t="s">
        <v>542</v>
      </c>
    </row>
    <row r="233" spans="2:3" ht="15" x14ac:dyDescent="0.25">
      <c r="B233" s="35" t="s">
        <v>543</v>
      </c>
      <c r="C233" s="34" t="s">
        <v>544</v>
      </c>
    </row>
    <row r="234" spans="2:3" ht="15" x14ac:dyDescent="0.25">
      <c r="B234" s="35" t="s">
        <v>545</v>
      </c>
      <c r="C234" s="34" t="s">
        <v>546</v>
      </c>
    </row>
    <row r="235" spans="2:3" ht="15" x14ac:dyDescent="0.25">
      <c r="B235" s="35" t="s">
        <v>547</v>
      </c>
      <c r="C235" s="34" t="s">
        <v>548</v>
      </c>
    </row>
    <row r="236" spans="2:3" ht="15" x14ac:dyDescent="0.25">
      <c r="B236" s="35" t="s">
        <v>549</v>
      </c>
      <c r="C236" s="34" t="s">
        <v>550</v>
      </c>
    </row>
    <row r="237" spans="2:3" ht="15" x14ac:dyDescent="0.25">
      <c r="B237" s="35" t="s">
        <v>551</v>
      </c>
      <c r="C237" s="34" t="s">
        <v>552</v>
      </c>
    </row>
    <row r="238" spans="2:3" ht="15" x14ac:dyDescent="0.25">
      <c r="B238" s="35" t="s">
        <v>553</v>
      </c>
      <c r="C238" s="34" t="s">
        <v>554</v>
      </c>
    </row>
    <row r="239" spans="2:3" ht="15" x14ac:dyDescent="0.25">
      <c r="B239" s="35" t="s">
        <v>555</v>
      </c>
      <c r="C239" s="34" t="s">
        <v>556</v>
      </c>
    </row>
    <row r="240" spans="2:3" ht="15" x14ac:dyDescent="0.25">
      <c r="B240" s="35" t="s">
        <v>557</v>
      </c>
      <c r="C240" s="34" t="s">
        <v>558</v>
      </c>
    </row>
    <row r="241" spans="2:3" ht="15" x14ac:dyDescent="0.25">
      <c r="B241" s="35" t="s">
        <v>559</v>
      </c>
      <c r="C241" s="34" t="s">
        <v>560</v>
      </c>
    </row>
    <row r="242" spans="2:3" ht="15" x14ac:dyDescent="0.25">
      <c r="B242" s="35" t="s">
        <v>561</v>
      </c>
      <c r="C242" s="34" t="s">
        <v>562</v>
      </c>
    </row>
    <row r="243" spans="2:3" ht="15" x14ac:dyDescent="0.25">
      <c r="B243" s="35" t="s">
        <v>563</v>
      </c>
      <c r="C243" s="34" t="s">
        <v>564</v>
      </c>
    </row>
    <row r="244" spans="2:3" ht="15" x14ac:dyDescent="0.25">
      <c r="B244" s="35" t="s">
        <v>565</v>
      </c>
      <c r="C244" s="34" t="s">
        <v>566</v>
      </c>
    </row>
    <row r="245" spans="2:3" ht="15" x14ac:dyDescent="0.25">
      <c r="B245" s="35" t="s">
        <v>567</v>
      </c>
      <c r="C245" s="34" t="s">
        <v>568</v>
      </c>
    </row>
    <row r="246" spans="2:3" ht="15" x14ac:dyDescent="0.25">
      <c r="B246" s="35" t="s">
        <v>569</v>
      </c>
      <c r="C246" s="34" t="s">
        <v>570</v>
      </c>
    </row>
    <row r="247" spans="2:3" ht="15" x14ac:dyDescent="0.25">
      <c r="B247" s="35" t="s">
        <v>571</v>
      </c>
      <c r="C247" s="34" t="s">
        <v>572</v>
      </c>
    </row>
    <row r="248" spans="2:3" ht="15" x14ac:dyDescent="0.25">
      <c r="B248" s="35" t="s">
        <v>573</v>
      </c>
      <c r="C248" s="34" t="s">
        <v>574</v>
      </c>
    </row>
    <row r="249" spans="2:3" ht="15" x14ac:dyDescent="0.25">
      <c r="B249" s="35" t="s">
        <v>575</v>
      </c>
      <c r="C249" s="34" t="s">
        <v>576</v>
      </c>
    </row>
    <row r="250" spans="2:3" ht="15" x14ac:dyDescent="0.25">
      <c r="B250" s="35" t="s">
        <v>577</v>
      </c>
      <c r="C250" s="34" t="s">
        <v>578</v>
      </c>
    </row>
    <row r="251" spans="2:3" ht="15" x14ac:dyDescent="0.25">
      <c r="B251" s="35" t="s">
        <v>579</v>
      </c>
      <c r="C251" s="34" t="s">
        <v>580</v>
      </c>
    </row>
    <row r="252" spans="2:3" ht="15" x14ac:dyDescent="0.25">
      <c r="B252" s="35" t="s">
        <v>581</v>
      </c>
      <c r="C252" s="34" t="s">
        <v>582</v>
      </c>
    </row>
    <row r="253" spans="2:3" ht="15" x14ac:dyDescent="0.25">
      <c r="B253" s="35" t="s">
        <v>583</v>
      </c>
      <c r="C253" s="34" t="s">
        <v>584</v>
      </c>
    </row>
    <row r="254" spans="2:3" ht="15" x14ac:dyDescent="0.25">
      <c r="B254" s="35" t="s">
        <v>585</v>
      </c>
      <c r="C254" s="34" t="s">
        <v>586</v>
      </c>
    </row>
    <row r="255" spans="2:3" ht="15" x14ac:dyDescent="0.25">
      <c r="B255" s="35" t="s">
        <v>587</v>
      </c>
      <c r="C255" s="34" t="s">
        <v>588</v>
      </c>
    </row>
    <row r="256" spans="2:3" ht="15" x14ac:dyDescent="0.25">
      <c r="B256" s="35" t="s">
        <v>589</v>
      </c>
      <c r="C256" s="34" t="s">
        <v>590</v>
      </c>
    </row>
    <row r="257" spans="2:3" ht="15" x14ac:dyDescent="0.25">
      <c r="B257" s="35" t="s">
        <v>591</v>
      </c>
      <c r="C257" s="34" t="s">
        <v>592</v>
      </c>
    </row>
    <row r="258" spans="2:3" ht="15" x14ac:dyDescent="0.25">
      <c r="B258" s="35" t="s">
        <v>593</v>
      </c>
      <c r="C258" s="34" t="s">
        <v>594</v>
      </c>
    </row>
    <row r="259" spans="2:3" ht="15" x14ac:dyDescent="0.25">
      <c r="B259" s="35" t="s">
        <v>595</v>
      </c>
      <c r="C259" s="34" t="s">
        <v>596</v>
      </c>
    </row>
    <row r="260" spans="2:3" ht="15" x14ac:dyDescent="0.25">
      <c r="B260" s="35" t="s">
        <v>597</v>
      </c>
      <c r="C260" s="34" t="s">
        <v>598</v>
      </c>
    </row>
    <row r="261" spans="2:3" ht="15" x14ac:dyDescent="0.25">
      <c r="B261" s="35" t="s">
        <v>599</v>
      </c>
      <c r="C261" s="34" t="s">
        <v>600</v>
      </c>
    </row>
    <row r="262" spans="2:3" ht="15" x14ac:dyDescent="0.25">
      <c r="B262" s="35" t="s">
        <v>601</v>
      </c>
      <c r="C262" s="34" t="s">
        <v>602</v>
      </c>
    </row>
    <row r="263" spans="2:3" ht="15" x14ac:dyDescent="0.25">
      <c r="B263" s="35" t="s">
        <v>603</v>
      </c>
      <c r="C263" s="34" t="s">
        <v>604</v>
      </c>
    </row>
    <row r="264" spans="2:3" ht="15" x14ac:dyDescent="0.25">
      <c r="B264" s="35" t="s">
        <v>605</v>
      </c>
      <c r="C264" s="34" t="s">
        <v>606</v>
      </c>
    </row>
    <row r="265" spans="2:3" ht="15" x14ac:dyDescent="0.25">
      <c r="B265" s="35" t="s">
        <v>607</v>
      </c>
      <c r="C265" s="34" t="s">
        <v>608</v>
      </c>
    </row>
    <row r="266" spans="2:3" ht="15" x14ac:dyDescent="0.25">
      <c r="B266" s="35" t="s">
        <v>609</v>
      </c>
      <c r="C266" s="34" t="s">
        <v>610</v>
      </c>
    </row>
    <row r="267" spans="2:3" ht="15" x14ac:dyDescent="0.25">
      <c r="B267" s="35" t="s">
        <v>611</v>
      </c>
      <c r="C267" s="34" t="s">
        <v>612</v>
      </c>
    </row>
    <row r="268" spans="2:3" ht="15" x14ac:dyDescent="0.25">
      <c r="B268" s="35" t="s">
        <v>613</v>
      </c>
      <c r="C268" s="34" t="s">
        <v>614</v>
      </c>
    </row>
    <row r="269" spans="2:3" ht="15" x14ac:dyDescent="0.25">
      <c r="B269" s="35" t="s">
        <v>615</v>
      </c>
      <c r="C269" s="34" t="s">
        <v>616</v>
      </c>
    </row>
    <row r="270" spans="2:3" ht="15" x14ac:dyDescent="0.25">
      <c r="B270" s="35" t="s">
        <v>617</v>
      </c>
      <c r="C270" s="34" t="s">
        <v>618</v>
      </c>
    </row>
    <row r="271" spans="2:3" ht="15" x14ac:dyDescent="0.25">
      <c r="B271" s="35" t="s">
        <v>619</v>
      </c>
      <c r="C271" s="34" t="s">
        <v>620</v>
      </c>
    </row>
    <row r="272" spans="2:3" ht="15" x14ac:dyDescent="0.25">
      <c r="B272" s="35" t="s">
        <v>621</v>
      </c>
      <c r="C272" s="34" t="s">
        <v>622</v>
      </c>
    </row>
    <row r="273" spans="2:3" ht="15" x14ac:dyDescent="0.25">
      <c r="B273" s="35" t="s">
        <v>623</v>
      </c>
      <c r="C273" s="34" t="s">
        <v>624</v>
      </c>
    </row>
    <row r="274" spans="2:3" ht="15" x14ac:dyDescent="0.25">
      <c r="B274" s="35" t="s">
        <v>625</v>
      </c>
      <c r="C274" s="34" t="s">
        <v>626</v>
      </c>
    </row>
    <row r="275" spans="2:3" ht="15" x14ac:dyDescent="0.25">
      <c r="B275" s="35" t="s">
        <v>627</v>
      </c>
      <c r="C275" s="34" t="s">
        <v>628</v>
      </c>
    </row>
    <row r="276" spans="2:3" ht="15" x14ac:dyDescent="0.25">
      <c r="B276" s="35" t="s">
        <v>629</v>
      </c>
      <c r="C276" s="34" t="s">
        <v>630</v>
      </c>
    </row>
    <row r="277" spans="2:3" ht="15" x14ac:dyDescent="0.25">
      <c r="B277" s="35" t="s">
        <v>631</v>
      </c>
      <c r="C277" s="34" t="s">
        <v>632</v>
      </c>
    </row>
    <row r="278" spans="2:3" ht="15" x14ac:dyDescent="0.25">
      <c r="B278" s="35" t="s">
        <v>633</v>
      </c>
      <c r="C278" s="34" t="s">
        <v>634</v>
      </c>
    </row>
    <row r="279" spans="2:3" ht="15" x14ac:dyDescent="0.25">
      <c r="B279" s="35" t="s">
        <v>635</v>
      </c>
      <c r="C279" s="34" t="s">
        <v>636</v>
      </c>
    </row>
    <row r="280" spans="2:3" ht="15" x14ac:dyDescent="0.25">
      <c r="B280" s="35" t="s">
        <v>637</v>
      </c>
      <c r="C280" s="34" t="s">
        <v>638</v>
      </c>
    </row>
    <row r="281" spans="2:3" ht="15" x14ac:dyDescent="0.25">
      <c r="B281" s="35" t="s">
        <v>639</v>
      </c>
      <c r="C281" s="34" t="s">
        <v>640</v>
      </c>
    </row>
    <row r="282" spans="2:3" ht="15" x14ac:dyDescent="0.25">
      <c r="B282" s="35" t="s">
        <v>641</v>
      </c>
      <c r="C282" s="34" t="s">
        <v>642</v>
      </c>
    </row>
    <row r="283" spans="2:3" ht="15" x14ac:dyDescent="0.25">
      <c r="B283" s="35" t="s">
        <v>643</v>
      </c>
      <c r="C283" s="34" t="s">
        <v>644</v>
      </c>
    </row>
    <row r="284" spans="2:3" ht="15" x14ac:dyDescent="0.25">
      <c r="B284" s="35" t="s">
        <v>645</v>
      </c>
      <c r="C284" s="34" t="s">
        <v>646</v>
      </c>
    </row>
    <row r="285" spans="2:3" ht="15" x14ac:dyDescent="0.25">
      <c r="B285" s="35" t="s">
        <v>647</v>
      </c>
      <c r="C285" s="34" t="s">
        <v>648</v>
      </c>
    </row>
    <row r="286" spans="2:3" ht="15" x14ac:dyDescent="0.25">
      <c r="B286" s="35" t="s">
        <v>649</v>
      </c>
      <c r="C286" s="34" t="s">
        <v>650</v>
      </c>
    </row>
    <row r="287" spans="2:3" ht="15" x14ac:dyDescent="0.25">
      <c r="B287" s="35" t="s">
        <v>651</v>
      </c>
      <c r="C287" s="34" t="s">
        <v>652</v>
      </c>
    </row>
    <row r="288" spans="2:3" ht="15" x14ac:dyDescent="0.25">
      <c r="B288" s="35" t="s">
        <v>653</v>
      </c>
      <c r="C288" s="34" t="s">
        <v>654</v>
      </c>
    </row>
    <row r="289" spans="2:3" ht="15" x14ac:dyDescent="0.25">
      <c r="B289" s="35" t="s">
        <v>655</v>
      </c>
      <c r="C289" s="34" t="s">
        <v>656</v>
      </c>
    </row>
    <row r="290" spans="2:3" ht="15" x14ac:dyDescent="0.25">
      <c r="B290" s="35" t="s">
        <v>657</v>
      </c>
      <c r="C290" s="34" t="s">
        <v>658</v>
      </c>
    </row>
    <row r="291" spans="2:3" ht="15" x14ac:dyDescent="0.25">
      <c r="B291" s="35" t="s">
        <v>659</v>
      </c>
      <c r="C291" s="34" t="s">
        <v>660</v>
      </c>
    </row>
    <row r="292" spans="2:3" ht="15" x14ac:dyDescent="0.25">
      <c r="B292" s="35" t="s">
        <v>661</v>
      </c>
      <c r="C292" s="34" t="s">
        <v>662</v>
      </c>
    </row>
    <row r="293" spans="2:3" ht="15" x14ac:dyDescent="0.25">
      <c r="B293" s="35" t="s">
        <v>663</v>
      </c>
      <c r="C293" s="34" t="s">
        <v>664</v>
      </c>
    </row>
    <row r="294" spans="2:3" ht="15" x14ac:dyDescent="0.25">
      <c r="B294" s="35" t="s">
        <v>665</v>
      </c>
      <c r="C294" s="34" t="s">
        <v>666</v>
      </c>
    </row>
    <row r="295" spans="2:3" ht="15" x14ac:dyDescent="0.25">
      <c r="B295" s="35" t="s">
        <v>667</v>
      </c>
      <c r="C295" s="34" t="s">
        <v>668</v>
      </c>
    </row>
    <row r="296" spans="2:3" ht="15" x14ac:dyDescent="0.25">
      <c r="B296" s="35" t="s">
        <v>669</v>
      </c>
      <c r="C296" s="34" t="s">
        <v>670</v>
      </c>
    </row>
    <row r="297" spans="2:3" ht="15" x14ac:dyDescent="0.25">
      <c r="B297" s="35" t="s">
        <v>671</v>
      </c>
      <c r="C297" s="34" t="s">
        <v>672</v>
      </c>
    </row>
    <row r="298" spans="2:3" ht="15" x14ac:dyDescent="0.25">
      <c r="B298" s="35" t="s">
        <v>673</v>
      </c>
      <c r="C298" s="34" t="s">
        <v>674</v>
      </c>
    </row>
    <row r="299" spans="2:3" ht="15" x14ac:dyDescent="0.25">
      <c r="B299" s="35" t="s">
        <v>675</v>
      </c>
      <c r="C299" s="34" t="s">
        <v>676</v>
      </c>
    </row>
    <row r="300" spans="2:3" ht="15" x14ac:dyDescent="0.25">
      <c r="B300" s="35" t="s">
        <v>677</v>
      </c>
      <c r="C300" s="34" t="s">
        <v>678</v>
      </c>
    </row>
    <row r="301" spans="2:3" ht="15" x14ac:dyDescent="0.25">
      <c r="B301" s="35" t="s">
        <v>679</v>
      </c>
      <c r="C301" s="34" t="s">
        <v>680</v>
      </c>
    </row>
    <row r="302" spans="2:3" ht="15" x14ac:dyDescent="0.25">
      <c r="B302" s="35" t="s">
        <v>681</v>
      </c>
      <c r="C302" s="34" t="s">
        <v>682</v>
      </c>
    </row>
    <row r="303" spans="2:3" ht="15" x14ac:dyDescent="0.25">
      <c r="B303" s="35" t="s">
        <v>683</v>
      </c>
      <c r="C303" s="34" t="s">
        <v>684</v>
      </c>
    </row>
    <row r="304" spans="2:3" ht="15" x14ac:dyDescent="0.25">
      <c r="B304" s="35" t="s">
        <v>685</v>
      </c>
      <c r="C304" s="34" t="s">
        <v>686</v>
      </c>
    </row>
    <row r="305" spans="2:3" ht="15" x14ac:dyDescent="0.25">
      <c r="B305" s="35" t="s">
        <v>687</v>
      </c>
      <c r="C305" s="34" t="s">
        <v>688</v>
      </c>
    </row>
    <row r="306" spans="2:3" ht="15" x14ac:dyDescent="0.25">
      <c r="B306" s="35" t="s">
        <v>689</v>
      </c>
      <c r="C306" s="34" t="s">
        <v>690</v>
      </c>
    </row>
    <row r="307" spans="2:3" ht="15" x14ac:dyDescent="0.25">
      <c r="B307" s="35" t="s">
        <v>691</v>
      </c>
      <c r="C307" s="34" t="s">
        <v>692</v>
      </c>
    </row>
    <row r="308" spans="2:3" ht="15" x14ac:dyDescent="0.25">
      <c r="B308" s="35" t="s">
        <v>693</v>
      </c>
      <c r="C308" s="34" t="s">
        <v>694</v>
      </c>
    </row>
    <row r="309" spans="2:3" ht="15" x14ac:dyDescent="0.25">
      <c r="B309" s="35" t="s">
        <v>695</v>
      </c>
      <c r="C309" s="34" t="s">
        <v>696</v>
      </c>
    </row>
    <row r="310" spans="2:3" ht="15" x14ac:dyDescent="0.25">
      <c r="B310" s="35" t="s">
        <v>697</v>
      </c>
      <c r="C310" s="34" t="s">
        <v>698</v>
      </c>
    </row>
    <row r="311" spans="2:3" ht="15" x14ac:dyDescent="0.25">
      <c r="B311" s="35" t="s">
        <v>699</v>
      </c>
      <c r="C311" s="34" t="s">
        <v>700</v>
      </c>
    </row>
    <row r="312" spans="2:3" ht="15" x14ac:dyDescent="0.25">
      <c r="B312" s="35" t="s">
        <v>701</v>
      </c>
      <c r="C312" s="34" t="s">
        <v>702</v>
      </c>
    </row>
    <row r="313" spans="2:3" ht="15" x14ac:dyDescent="0.25">
      <c r="B313" s="35" t="s">
        <v>703</v>
      </c>
      <c r="C313" s="34" t="s">
        <v>704</v>
      </c>
    </row>
    <row r="314" spans="2:3" ht="15" x14ac:dyDescent="0.25">
      <c r="B314" s="35" t="s">
        <v>705</v>
      </c>
      <c r="C314" s="34" t="s">
        <v>706</v>
      </c>
    </row>
    <row r="315" spans="2:3" ht="15" x14ac:dyDescent="0.25">
      <c r="B315" s="35" t="s">
        <v>707</v>
      </c>
      <c r="C315" s="34" t="s">
        <v>708</v>
      </c>
    </row>
    <row r="316" spans="2:3" ht="15" x14ac:dyDescent="0.25">
      <c r="B316" s="35" t="s">
        <v>709</v>
      </c>
      <c r="C316" s="34" t="s">
        <v>710</v>
      </c>
    </row>
    <row r="317" spans="2:3" ht="15" x14ac:dyDescent="0.25">
      <c r="B317" s="35" t="s">
        <v>711</v>
      </c>
      <c r="C317" s="34" t="s">
        <v>712</v>
      </c>
    </row>
    <row r="318" spans="2:3" ht="15" x14ac:dyDescent="0.25">
      <c r="B318" s="35" t="s">
        <v>713</v>
      </c>
      <c r="C318" s="34" t="s">
        <v>714</v>
      </c>
    </row>
    <row r="319" spans="2:3" ht="15" x14ac:dyDescent="0.25">
      <c r="B319" s="35" t="s">
        <v>715</v>
      </c>
      <c r="C319" s="34" t="s">
        <v>716</v>
      </c>
    </row>
    <row r="320" spans="2:3" ht="15" x14ac:dyDescent="0.25">
      <c r="B320" s="35" t="s">
        <v>717</v>
      </c>
      <c r="C320" s="34" t="s">
        <v>718</v>
      </c>
    </row>
    <row r="321" spans="2:3" ht="15" x14ac:dyDescent="0.25">
      <c r="B321" s="35" t="s">
        <v>719</v>
      </c>
      <c r="C321" s="34" t="s">
        <v>720</v>
      </c>
    </row>
    <row r="322" spans="2:3" ht="15" x14ac:dyDescent="0.25">
      <c r="B322" s="35" t="s">
        <v>721</v>
      </c>
      <c r="C322" s="34" t="s">
        <v>722</v>
      </c>
    </row>
    <row r="323" spans="2:3" ht="15" x14ac:dyDescent="0.25">
      <c r="B323" s="35" t="s">
        <v>723</v>
      </c>
      <c r="C323" s="34" t="s">
        <v>724</v>
      </c>
    </row>
    <row r="324" spans="2:3" ht="15" x14ac:dyDescent="0.25">
      <c r="B324" s="35" t="s">
        <v>725</v>
      </c>
      <c r="C324" s="34" t="s">
        <v>726</v>
      </c>
    </row>
    <row r="325" spans="2:3" ht="15" x14ac:dyDescent="0.25">
      <c r="B325" s="35" t="s">
        <v>727</v>
      </c>
      <c r="C325" s="34" t="s">
        <v>728</v>
      </c>
    </row>
    <row r="326" spans="2:3" ht="15" x14ac:dyDescent="0.25">
      <c r="B326" s="35" t="s">
        <v>729</v>
      </c>
      <c r="C326" s="34" t="s">
        <v>730</v>
      </c>
    </row>
    <row r="327" spans="2:3" ht="15" x14ac:dyDescent="0.25">
      <c r="B327" s="35" t="s">
        <v>731</v>
      </c>
      <c r="C327" s="34" t="s">
        <v>732</v>
      </c>
    </row>
    <row r="328" spans="2:3" ht="15" x14ac:dyDescent="0.25">
      <c r="B328" s="35" t="s">
        <v>733</v>
      </c>
      <c r="C328" s="34" t="s">
        <v>734</v>
      </c>
    </row>
    <row r="329" spans="2:3" ht="15" x14ac:dyDescent="0.25">
      <c r="B329" s="35" t="s">
        <v>735</v>
      </c>
      <c r="C329" s="34" t="s">
        <v>736</v>
      </c>
    </row>
    <row r="330" spans="2:3" ht="15" x14ac:dyDescent="0.25">
      <c r="B330" s="35" t="s">
        <v>737</v>
      </c>
      <c r="C330" s="34" t="s">
        <v>738</v>
      </c>
    </row>
    <row r="331" spans="2:3" ht="15" x14ac:dyDescent="0.25">
      <c r="B331" s="35" t="s">
        <v>739</v>
      </c>
      <c r="C331" s="34" t="s">
        <v>740</v>
      </c>
    </row>
    <row r="332" spans="2:3" ht="15" x14ac:dyDescent="0.25">
      <c r="B332" s="35" t="s">
        <v>741</v>
      </c>
      <c r="C332" s="34" t="s">
        <v>742</v>
      </c>
    </row>
    <row r="333" spans="2:3" ht="15" x14ac:dyDescent="0.25">
      <c r="B333" s="35" t="s">
        <v>743</v>
      </c>
      <c r="C333" s="34" t="s">
        <v>744</v>
      </c>
    </row>
    <row r="334" spans="2:3" ht="15" x14ac:dyDescent="0.25">
      <c r="B334" s="35" t="s">
        <v>745</v>
      </c>
      <c r="C334" s="34" t="s">
        <v>746</v>
      </c>
    </row>
    <row r="335" spans="2:3" ht="15" x14ac:dyDescent="0.25">
      <c r="B335" s="35" t="s">
        <v>747</v>
      </c>
      <c r="C335" s="34" t="s">
        <v>748</v>
      </c>
    </row>
    <row r="336" spans="2:3" ht="15" x14ac:dyDescent="0.25">
      <c r="B336" s="35" t="s">
        <v>749</v>
      </c>
      <c r="C336" s="34" t="s">
        <v>750</v>
      </c>
    </row>
    <row r="337" spans="2:3" ht="15" x14ac:dyDescent="0.25">
      <c r="B337" s="35" t="s">
        <v>751</v>
      </c>
      <c r="C337" s="34" t="s">
        <v>752</v>
      </c>
    </row>
    <row r="338" spans="2:3" ht="15" x14ac:dyDescent="0.25">
      <c r="B338" s="35" t="s">
        <v>753</v>
      </c>
      <c r="C338" s="34" t="s">
        <v>754</v>
      </c>
    </row>
    <row r="339" spans="2:3" ht="15" x14ac:dyDescent="0.25">
      <c r="B339" s="35" t="s">
        <v>755</v>
      </c>
      <c r="C339" s="34" t="s">
        <v>756</v>
      </c>
    </row>
    <row r="340" spans="2:3" ht="15" x14ac:dyDescent="0.25">
      <c r="B340" s="35" t="s">
        <v>757</v>
      </c>
      <c r="C340" s="34" t="s">
        <v>758</v>
      </c>
    </row>
    <row r="341" spans="2:3" ht="15" x14ac:dyDescent="0.25">
      <c r="B341" s="35" t="s">
        <v>759</v>
      </c>
      <c r="C341" s="34" t="s">
        <v>760</v>
      </c>
    </row>
    <row r="342" spans="2:3" ht="15" x14ac:dyDescent="0.25">
      <c r="B342" s="35" t="s">
        <v>761</v>
      </c>
      <c r="C342" s="34" t="s">
        <v>762</v>
      </c>
    </row>
    <row r="343" spans="2:3" ht="15" x14ac:dyDescent="0.25">
      <c r="B343" s="35" t="s">
        <v>763</v>
      </c>
      <c r="C343" s="34" t="s">
        <v>764</v>
      </c>
    </row>
    <row r="344" spans="2:3" ht="15" x14ac:dyDescent="0.25">
      <c r="B344" s="35" t="s">
        <v>765</v>
      </c>
      <c r="C344" s="34" t="s">
        <v>765</v>
      </c>
    </row>
    <row r="345" spans="2:3" ht="15" x14ac:dyDescent="0.25">
      <c r="B345" s="35" t="s">
        <v>766</v>
      </c>
      <c r="C345" s="34" t="s">
        <v>767</v>
      </c>
    </row>
    <row r="346" spans="2:3" ht="15" x14ac:dyDescent="0.25">
      <c r="B346" s="35" t="s">
        <v>768</v>
      </c>
      <c r="C346" s="34" t="s">
        <v>769</v>
      </c>
    </row>
    <row r="347" spans="2:3" ht="15" x14ac:dyDescent="0.25">
      <c r="B347" s="35" t="s">
        <v>770</v>
      </c>
      <c r="C347" s="34" t="s">
        <v>771</v>
      </c>
    </row>
    <row r="348" spans="2:3" ht="15" x14ac:dyDescent="0.25">
      <c r="B348" s="35" t="s">
        <v>772</v>
      </c>
      <c r="C348" s="34" t="s">
        <v>773</v>
      </c>
    </row>
    <row r="349" spans="2:3" ht="15" x14ac:dyDescent="0.25">
      <c r="B349" s="35" t="s">
        <v>774</v>
      </c>
      <c r="C349" s="34" t="s">
        <v>775</v>
      </c>
    </row>
    <row r="350" spans="2:3" ht="15" x14ac:dyDescent="0.25">
      <c r="B350" s="35" t="s">
        <v>776</v>
      </c>
      <c r="C350" s="34" t="s">
        <v>777</v>
      </c>
    </row>
    <row r="351" spans="2:3" ht="15" x14ac:dyDescent="0.25">
      <c r="B351" s="35" t="s">
        <v>778</v>
      </c>
      <c r="C351" s="34" t="s">
        <v>779</v>
      </c>
    </row>
    <row r="352" spans="2:3" ht="15" x14ac:dyDescent="0.25">
      <c r="B352" s="35" t="s">
        <v>780</v>
      </c>
      <c r="C352" s="34" t="s">
        <v>781</v>
      </c>
    </row>
    <row r="353" spans="2:3" ht="15" x14ac:dyDescent="0.25">
      <c r="B353" s="35" t="s">
        <v>782</v>
      </c>
      <c r="C353" s="34" t="s">
        <v>783</v>
      </c>
    </row>
    <row r="354" spans="2:3" ht="15" x14ac:dyDescent="0.25">
      <c r="B354" s="35" t="s">
        <v>784</v>
      </c>
      <c r="C354" s="34" t="s">
        <v>785</v>
      </c>
    </row>
    <row r="355" spans="2:3" ht="15" x14ac:dyDescent="0.25">
      <c r="B355" s="35" t="s">
        <v>786</v>
      </c>
      <c r="C355" s="34" t="s">
        <v>787</v>
      </c>
    </row>
    <row r="356" spans="2:3" ht="15" x14ac:dyDescent="0.25">
      <c r="B356" s="35" t="s">
        <v>788</v>
      </c>
      <c r="C356" s="34" t="s">
        <v>789</v>
      </c>
    </row>
    <row r="357" spans="2:3" ht="15" x14ac:dyDescent="0.25">
      <c r="B357" s="35" t="s">
        <v>790</v>
      </c>
      <c r="C357" s="34" t="s">
        <v>791</v>
      </c>
    </row>
    <row r="358" spans="2:3" ht="15" x14ac:dyDescent="0.25">
      <c r="B358" s="35" t="s">
        <v>780</v>
      </c>
      <c r="C358" s="35" t="s">
        <v>792</v>
      </c>
    </row>
    <row r="359" spans="2:3" ht="15" x14ac:dyDescent="0.25">
      <c r="B359" s="35" t="s">
        <v>782</v>
      </c>
      <c r="C359" s="35" t="s">
        <v>793</v>
      </c>
    </row>
    <row r="360" spans="2:3" ht="15" x14ac:dyDescent="0.25">
      <c r="B360" s="35" t="s">
        <v>784</v>
      </c>
      <c r="C360" s="35" t="s">
        <v>794</v>
      </c>
    </row>
    <row r="361" spans="2:3" ht="15" x14ac:dyDescent="0.25">
      <c r="B361" s="35" t="s">
        <v>786</v>
      </c>
      <c r="C361" s="35" t="s">
        <v>795</v>
      </c>
    </row>
    <row r="362" spans="2:3" ht="15" x14ac:dyDescent="0.25">
      <c r="B362" s="35" t="s">
        <v>796</v>
      </c>
      <c r="C362" s="35" t="s">
        <v>797</v>
      </c>
    </row>
    <row r="363" spans="2:3" ht="15" x14ac:dyDescent="0.25">
      <c r="B363" s="35" t="s">
        <v>798</v>
      </c>
      <c r="C363" s="35" t="s">
        <v>799</v>
      </c>
    </row>
    <row r="364" spans="2:3" ht="15" x14ac:dyDescent="0.25">
      <c r="B364" s="35" t="s">
        <v>800</v>
      </c>
      <c r="C364" s="35" t="s">
        <v>801</v>
      </c>
    </row>
    <row r="365" spans="2:3" x14ac:dyDescent="0.2">
      <c r="B365" s="29"/>
      <c r="C365" s="29"/>
    </row>
    <row r="366" spans="2:3" x14ac:dyDescent="0.2">
      <c r="B366" s="29"/>
      <c r="C366" s="29"/>
    </row>
    <row r="367" spans="2:3" x14ac:dyDescent="0.2">
      <c r="B367" s="29"/>
      <c r="C367" s="29"/>
    </row>
    <row r="368" spans="2:3" x14ac:dyDescent="0.2">
      <c r="B368" s="29"/>
      <c r="C368" s="29"/>
    </row>
    <row r="369" spans="2:3" x14ac:dyDescent="0.2">
      <c r="B369" s="29"/>
      <c r="C369" s="29"/>
    </row>
    <row r="370" spans="2:3" x14ac:dyDescent="0.2">
      <c r="B370" s="29"/>
      <c r="C370" s="29"/>
    </row>
    <row r="371" spans="2:3" x14ac:dyDescent="0.2">
      <c r="B371" s="29"/>
      <c r="C371" s="29"/>
    </row>
    <row r="372" spans="2:3" x14ac:dyDescent="0.2">
      <c r="B372" s="29"/>
      <c r="C372" s="29"/>
    </row>
  </sheetData>
  <autoFilter ref="B2:C2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3"/>
  <sheetViews>
    <sheetView topLeftCell="A7" workbookViewId="0">
      <selection activeCell="E10" sqref="E10"/>
    </sheetView>
  </sheetViews>
  <sheetFormatPr defaultRowHeight="14.25" x14ac:dyDescent="0.2"/>
  <cols>
    <col min="2" max="2" width="25.625" customWidth="1"/>
    <col min="3" max="3" width="20.875" customWidth="1"/>
    <col min="4" max="4" width="20" customWidth="1"/>
    <col min="5" max="5" width="17.25" customWidth="1"/>
  </cols>
  <sheetData>
    <row r="1" spans="1:13" x14ac:dyDescent="0.2">
      <c r="A1" s="2"/>
      <c r="B1" s="2"/>
      <c r="C1" s="2"/>
      <c r="D1" s="2"/>
      <c r="E1" s="2"/>
    </row>
    <row r="2" spans="1:13" x14ac:dyDescent="0.2">
      <c r="A2" s="2"/>
      <c r="B2" s="2"/>
      <c r="C2" s="2"/>
      <c r="D2" s="2"/>
      <c r="E2" s="2"/>
    </row>
    <row r="3" spans="1:13" x14ac:dyDescent="0.2">
      <c r="A3" s="2"/>
      <c r="B3" s="2"/>
      <c r="C3" s="2"/>
      <c r="D3" s="2"/>
      <c r="E3" s="2"/>
    </row>
    <row r="4" spans="1:13" x14ac:dyDescent="0.2">
      <c r="A4" s="2"/>
      <c r="B4" s="2"/>
      <c r="C4" s="2"/>
      <c r="D4" s="2"/>
      <c r="E4" s="2"/>
    </row>
    <row r="5" spans="1:13" x14ac:dyDescent="0.2">
      <c r="A5" s="2"/>
      <c r="B5" s="2"/>
      <c r="C5" s="2"/>
      <c r="D5" s="2"/>
      <c r="E5" s="2"/>
    </row>
    <row r="6" spans="1:13" x14ac:dyDescent="0.2">
      <c r="A6" s="2"/>
      <c r="B6" s="2"/>
      <c r="C6" s="2"/>
      <c r="D6" s="2"/>
      <c r="E6" s="2"/>
    </row>
    <row r="7" spans="1:13" ht="15" x14ac:dyDescent="0.2">
      <c r="A7" s="2"/>
      <c r="B7" s="6" t="s">
        <v>37</v>
      </c>
      <c r="C7" s="6" t="s">
        <v>39</v>
      </c>
      <c r="D7" s="6" t="s">
        <v>18</v>
      </c>
      <c r="E7" s="6" t="s">
        <v>802</v>
      </c>
      <c r="G7" s="7" t="s">
        <v>803</v>
      </c>
      <c r="I7" s="8" t="s">
        <v>804</v>
      </c>
      <c r="L7" s="34" t="s">
        <v>86</v>
      </c>
      <c r="M7" s="34" t="s">
        <v>87</v>
      </c>
    </row>
    <row r="8" spans="1:13" ht="15" x14ac:dyDescent="0.2">
      <c r="A8" s="2"/>
      <c r="B8" s="2" t="s">
        <v>805</v>
      </c>
      <c r="C8" s="2" t="s">
        <v>806</v>
      </c>
      <c r="D8" s="2" t="s">
        <v>807</v>
      </c>
      <c r="E8" s="2" t="s">
        <v>808</v>
      </c>
      <c r="G8" s="7" t="s">
        <v>809</v>
      </c>
      <c r="I8" s="9" t="s">
        <v>810</v>
      </c>
      <c r="L8" s="34" t="s">
        <v>88</v>
      </c>
      <c r="M8" s="34" t="s">
        <v>89</v>
      </c>
    </row>
    <row r="9" spans="1:13" ht="15" x14ac:dyDescent="0.2">
      <c r="A9" s="2"/>
      <c r="B9" s="2" t="s">
        <v>811</v>
      </c>
      <c r="C9" s="2" t="s">
        <v>812</v>
      </c>
      <c r="D9" s="2" t="s">
        <v>813</v>
      </c>
      <c r="E9" s="2"/>
      <c r="G9" s="7" t="s">
        <v>814</v>
      </c>
      <c r="I9" s="8" t="s">
        <v>815</v>
      </c>
      <c r="L9" s="34" t="s">
        <v>90</v>
      </c>
      <c r="M9" s="34" t="s">
        <v>91</v>
      </c>
    </row>
    <row r="10" spans="1:13" ht="15" x14ac:dyDescent="0.2">
      <c r="A10" s="2"/>
      <c r="B10" s="2"/>
      <c r="C10" s="2" t="s">
        <v>816</v>
      </c>
      <c r="D10" s="2" t="s">
        <v>817</v>
      </c>
      <c r="E10" s="2"/>
      <c r="G10" s="7" t="s">
        <v>818</v>
      </c>
      <c r="I10" s="9" t="s">
        <v>819</v>
      </c>
      <c r="L10" s="34" t="s">
        <v>92</v>
      </c>
      <c r="M10" s="34" t="s">
        <v>93</v>
      </c>
    </row>
    <row r="11" spans="1:13" ht="15" x14ac:dyDescent="0.2">
      <c r="A11" s="2"/>
      <c r="B11" s="2"/>
      <c r="C11" s="2" t="s">
        <v>820</v>
      </c>
      <c r="D11" s="2" t="s">
        <v>821</v>
      </c>
      <c r="E11" s="2"/>
      <c r="G11" s="7" t="s">
        <v>822</v>
      </c>
      <c r="I11" s="8" t="s">
        <v>823</v>
      </c>
      <c r="L11" s="34" t="s">
        <v>94</v>
      </c>
      <c r="M11" s="34" t="s">
        <v>95</v>
      </c>
    </row>
    <row r="12" spans="1:13" ht="15" x14ac:dyDescent="0.2">
      <c r="A12" s="2"/>
      <c r="B12" s="2"/>
      <c r="C12" s="2" t="s">
        <v>824</v>
      </c>
      <c r="D12" s="2" t="s">
        <v>825</v>
      </c>
      <c r="E12" s="2"/>
      <c r="G12" s="7" t="s">
        <v>826</v>
      </c>
      <c r="I12" s="9" t="s">
        <v>827</v>
      </c>
      <c r="L12" s="34" t="s">
        <v>96</v>
      </c>
      <c r="M12" s="34" t="s">
        <v>97</v>
      </c>
    </row>
    <row r="13" spans="1:13" ht="15" x14ac:dyDescent="0.2">
      <c r="A13" s="2"/>
      <c r="B13" s="2"/>
      <c r="C13" s="2"/>
      <c r="D13" s="2" t="s">
        <v>828</v>
      </c>
      <c r="E13" s="2"/>
      <c r="G13" s="7" t="s">
        <v>829</v>
      </c>
      <c r="I13" s="8" t="s">
        <v>830</v>
      </c>
      <c r="L13" s="34" t="s">
        <v>98</v>
      </c>
      <c r="M13" s="34" t="s">
        <v>99</v>
      </c>
    </row>
    <row r="14" spans="1:13" ht="15" x14ac:dyDescent="0.2">
      <c r="A14" s="2"/>
      <c r="B14" s="2"/>
      <c r="C14" s="2"/>
      <c r="D14" s="2" t="s">
        <v>831</v>
      </c>
      <c r="E14" s="2"/>
      <c r="G14" s="7" t="s">
        <v>832</v>
      </c>
      <c r="I14" s="9" t="s">
        <v>833</v>
      </c>
      <c r="L14" s="34" t="s">
        <v>100</v>
      </c>
      <c r="M14" s="34" t="s">
        <v>101</v>
      </c>
    </row>
    <row r="15" spans="1:13" ht="15" x14ac:dyDescent="0.2">
      <c r="A15" s="2"/>
      <c r="B15" s="2"/>
      <c r="C15" s="2"/>
      <c r="D15" s="2" t="s">
        <v>834</v>
      </c>
      <c r="E15" s="2"/>
      <c r="G15" s="7" t="s">
        <v>835</v>
      </c>
      <c r="I15" s="8" t="s">
        <v>836</v>
      </c>
      <c r="L15" s="34" t="s">
        <v>102</v>
      </c>
      <c r="M15" s="34" t="s">
        <v>103</v>
      </c>
    </row>
    <row r="16" spans="1:13" ht="15" x14ac:dyDescent="0.2">
      <c r="A16" s="2"/>
      <c r="B16" s="2"/>
      <c r="C16" s="2"/>
      <c r="D16" s="2" t="s">
        <v>837</v>
      </c>
      <c r="E16" s="2"/>
      <c r="G16" s="7" t="s">
        <v>838</v>
      </c>
      <c r="I16" s="9" t="s">
        <v>839</v>
      </c>
      <c r="L16" s="34" t="s">
        <v>104</v>
      </c>
      <c r="M16" s="34" t="s">
        <v>105</v>
      </c>
    </row>
    <row r="17" spans="1:13" ht="15" x14ac:dyDescent="0.2">
      <c r="A17" s="2"/>
      <c r="B17" s="2"/>
      <c r="C17" s="2"/>
      <c r="D17" s="2" t="s">
        <v>840</v>
      </c>
      <c r="E17" s="2"/>
      <c r="G17" s="7" t="s">
        <v>841</v>
      </c>
      <c r="I17" s="8" t="s">
        <v>842</v>
      </c>
      <c r="L17" s="34" t="s">
        <v>106</v>
      </c>
      <c r="M17" s="34" t="s">
        <v>107</v>
      </c>
    </row>
    <row r="18" spans="1:13" ht="15" x14ac:dyDescent="0.2">
      <c r="A18" s="2"/>
      <c r="B18" s="2"/>
      <c r="C18" s="2"/>
      <c r="D18" s="2" t="s">
        <v>843</v>
      </c>
      <c r="E18" s="2"/>
      <c r="G18" s="7" t="s">
        <v>844</v>
      </c>
      <c r="I18" s="9" t="s">
        <v>845</v>
      </c>
      <c r="L18" s="34" t="s">
        <v>108</v>
      </c>
      <c r="M18" s="34" t="s">
        <v>109</v>
      </c>
    </row>
    <row r="19" spans="1:13" ht="15" x14ac:dyDescent="0.2">
      <c r="A19" s="2"/>
      <c r="B19" s="2"/>
      <c r="C19" s="2"/>
      <c r="D19" s="2" t="s">
        <v>846</v>
      </c>
      <c r="E19" s="2"/>
      <c r="G19" s="7" t="s">
        <v>847</v>
      </c>
      <c r="I19" s="8" t="s">
        <v>848</v>
      </c>
      <c r="L19" s="34" t="s">
        <v>110</v>
      </c>
      <c r="M19" s="34" t="s">
        <v>111</v>
      </c>
    </row>
    <row r="20" spans="1:13" ht="15" x14ac:dyDescent="0.2">
      <c r="A20" s="2"/>
      <c r="B20" s="2"/>
      <c r="C20" s="2"/>
      <c r="D20" s="2" t="s">
        <v>849</v>
      </c>
      <c r="E20" s="2"/>
      <c r="G20" s="7" t="s">
        <v>850</v>
      </c>
      <c r="I20" s="9" t="s">
        <v>851</v>
      </c>
      <c r="L20" s="34" t="s">
        <v>112</v>
      </c>
      <c r="M20" s="34" t="s">
        <v>113</v>
      </c>
    </row>
    <row r="21" spans="1:13" ht="15" x14ac:dyDescent="0.2">
      <c r="A21" s="2"/>
      <c r="B21" s="2"/>
      <c r="C21" s="2"/>
      <c r="D21" s="2" t="s">
        <v>852</v>
      </c>
      <c r="E21" s="2"/>
      <c r="G21" s="7" t="s">
        <v>853</v>
      </c>
      <c r="I21" s="8" t="s">
        <v>854</v>
      </c>
      <c r="L21" s="34" t="s">
        <v>114</v>
      </c>
      <c r="M21" s="34" t="s">
        <v>115</v>
      </c>
    </row>
    <row r="22" spans="1:13" ht="15" x14ac:dyDescent="0.2">
      <c r="A22" s="2"/>
      <c r="B22" s="2"/>
      <c r="C22" s="2"/>
      <c r="D22" s="2" t="s">
        <v>855</v>
      </c>
      <c r="E22" s="2"/>
      <c r="G22" s="7" t="s">
        <v>856</v>
      </c>
      <c r="I22" s="9" t="s">
        <v>857</v>
      </c>
      <c r="L22" s="34" t="s">
        <v>116</v>
      </c>
      <c r="M22" s="34" t="s">
        <v>117</v>
      </c>
    </row>
    <row r="23" spans="1:13" ht="15" x14ac:dyDescent="0.2">
      <c r="A23" s="2"/>
      <c r="B23" s="2"/>
      <c r="C23" s="2"/>
      <c r="D23" s="2" t="s">
        <v>858</v>
      </c>
      <c r="E23" s="2"/>
      <c r="G23" s="7" t="s">
        <v>859</v>
      </c>
      <c r="I23" s="8" t="s">
        <v>860</v>
      </c>
      <c r="L23" s="34" t="s">
        <v>118</v>
      </c>
      <c r="M23" s="34" t="s">
        <v>119</v>
      </c>
    </row>
    <row r="24" spans="1:13" ht="15" x14ac:dyDescent="0.2">
      <c r="A24" s="2"/>
      <c r="B24" s="2"/>
      <c r="C24" s="2"/>
      <c r="D24" s="2" t="s">
        <v>861</v>
      </c>
      <c r="E24" s="2"/>
      <c r="G24" s="7" t="s">
        <v>862</v>
      </c>
      <c r="I24" s="9" t="s">
        <v>863</v>
      </c>
      <c r="L24" s="34" t="s">
        <v>120</v>
      </c>
      <c r="M24" s="34" t="s">
        <v>121</v>
      </c>
    </row>
    <row r="25" spans="1:13" ht="15" x14ac:dyDescent="0.2">
      <c r="A25" s="2"/>
      <c r="B25" s="2"/>
      <c r="C25" s="2"/>
      <c r="D25" s="2" t="s">
        <v>864</v>
      </c>
      <c r="E25" s="2"/>
      <c r="G25" s="7" t="s">
        <v>865</v>
      </c>
      <c r="I25" s="8" t="s">
        <v>866</v>
      </c>
      <c r="L25" s="34" t="s">
        <v>122</v>
      </c>
      <c r="M25" s="34" t="s">
        <v>123</v>
      </c>
    </row>
    <row r="26" spans="1:13" ht="15" x14ac:dyDescent="0.2">
      <c r="A26" s="2"/>
      <c r="B26" s="2"/>
      <c r="C26" s="2"/>
      <c r="D26" s="2" t="s">
        <v>867</v>
      </c>
      <c r="E26" s="2"/>
      <c r="G26" s="7" t="s">
        <v>868</v>
      </c>
      <c r="I26" s="9" t="s">
        <v>869</v>
      </c>
      <c r="L26" s="34" t="s">
        <v>124</v>
      </c>
      <c r="M26" s="34" t="s">
        <v>125</v>
      </c>
    </row>
    <row r="27" spans="1:13" ht="15" x14ac:dyDescent="0.2">
      <c r="A27" s="2"/>
      <c r="B27" s="2"/>
      <c r="C27" s="2"/>
      <c r="D27" s="2" t="s">
        <v>870</v>
      </c>
      <c r="E27" s="2"/>
      <c r="G27" s="7" t="s">
        <v>871</v>
      </c>
      <c r="I27" s="8" t="s">
        <v>872</v>
      </c>
      <c r="L27" s="34" t="s">
        <v>126</v>
      </c>
      <c r="M27" s="34" t="s">
        <v>127</v>
      </c>
    </row>
    <row r="28" spans="1:13" ht="15" x14ac:dyDescent="0.2">
      <c r="A28" s="2"/>
      <c r="B28" s="2"/>
      <c r="C28" s="2"/>
      <c r="D28" s="2" t="s">
        <v>873</v>
      </c>
      <c r="E28" s="2"/>
      <c r="G28" s="7" t="s">
        <v>874</v>
      </c>
      <c r="I28" s="9" t="s">
        <v>875</v>
      </c>
      <c r="L28" s="34" t="s">
        <v>128</v>
      </c>
      <c r="M28" s="34" t="s">
        <v>129</v>
      </c>
    </row>
    <row r="29" spans="1:13" ht="15" x14ac:dyDescent="0.2">
      <c r="A29" s="2"/>
      <c r="B29" s="2"/>
      <c r="C29" s="2"/>
      <c r="D29" s="2" t="s">
        <v>876</v>
      </c>
      <c r="E29" s="2"/>
      <c r="G29" s="7" t="s">
        <v>877</v>
      </c>
      <c r="I29" s="8" t="s">
        <v>878</v>
      </c>
      <c r="L29" s="34" t="s">
        <v>130</v>
      </c>
      <c r="M29" s="34" t="s">
        <v>131</v>
      </c>
    </row>
    <row r="30" spans="1:13" ht="15" x14ac:dyDescent="0.2">
      <c r="A30" s="2"/>
      <c r="B30" s="2"/>
      <c r="C30" s="2"/>
      <c r="D30" s="2" t="s">
        <v>879</v>
      </c>
      <c r="E30" s="2"/>
      <c r="G30" s="7" t="s">
        <v>880</v>
      </c>
      <c r="I30" s="9" t="s">
        <v>881</v>
      </c>
      <c r="L30" s="34" t="s">
        <v>132</v>
      </c>
      <c r="M30" s="34" t="s">
        <v>133</v>
      </c>
    </row>
    <row r="31" spans="1:13" ht="15" x14ac:dyDescent="0.2">
      <c r="A31" s="2"/>
      <c r="B31" s="2"/>
      <c r="C31" s="2"/>
      <c r="D31" s="2" t="s">
        <v>882</v>
      </c>
      <c r="E31" s="2"/>
      <c r="G31" s="7" t="s">
        <v>883</v>
      </c>
      <c r="I31" s="8" t="s">
        <v>884</v>
      </c>
      <c r="L31" s="34" t="s">
        <v>134</v>
      </c>
      <c r="M31" s="34" t="s">
        <v>135</v>
      </c>
    </row>
    <row r="32" spans="1:13" ht="15" x14ac:dyDescent="0.2">
      <c r="A32" s="2"/>
      <c r="B32" s="2"/>
      <c r="C32" s="2"/>
      <c r="D32" s="2" t="s">
        <v>885</v>
      </c>
      <c r="E32" s="2"/>
      <c r="G32" s="7" t="s">
        <v>886</v>
      </c>
      <c r="I32" s="9" t="s">
        <v>887</v>
      </c>
      <c r="L32" s="34" t="s">
        <v>136</v>
      </c>
      <c r="M32" s="34" t="s">
        <v>137</v>
      </c>
    </row>
    <row r="33" spans="1:13" ht="15" x14ac:dyDescent="0.2">
      <c r="A33" s="2"/>
      <c r="B33" s="2"/>
      <c r="C33" s="2"/>
      <c r="D33" s="2" t="s">
        <v>888</v>
      </c>
      <c r="E33" s="2"/>
      <c r="G33" s="7" t="s">
        <v>889</v>
      </c>
      <c r="I33" s="8" t="s">
        <v>890</v>
      </c>
      <c r="L33" s="34" t="s">
        <v>138</v>
      </c>
      <c r="M33" s="34" t="s">
        <v>139</v>
      </c>
    </row>
    <row r="34" spans="1:13" ht="15" x14ac:dyDescent="0.2">
      <c r="A34" s="2"/>
      <c r="B34" s="2"/>
      <c r="C34" s="2"/>
      <c r="D34" s="2" t="s">
        <v>891</v>
      </c>
      <c r="E34" s="2"/>
      <c r="G34" s="7" t="s">
        <v>892</v>
      </c>
      <c r="I34" s="9" t="s">
        <v>893</v>
      </c>
      <c r="L34" s="34" t="s">
        <v>140</v>
      </c>
      <c r="M34" s="34" t="s">
        <v>141</v>
      </c>
    </row>
    <row r="35" spans="1:13" ht="15" x14ac:dyDescent="0.2">
      <c r="A35" s="2"/>
      <c r="B35" s="2"/>
      <c r="C35" s="2"/>
      <c r="D35" s="2" t="s">
        <v>894</v>
      </c>
      <c r="E35" s="2"/>
      <c r="G35" s="7" t="s">
        <v>895</v>
      </c>
      <c r="I35" s="8" t="s">
        <v>896</v>
      </c>
      <c r="L35" s="34" t="s">
        <v>142</v>
      </c>
      <c r="M35" s="34" t="s">
        <v>143</v>
      </c>
    </row>
    <row r="36" spans="1:13" ht="15" x14ac:dyDescent="0.2">
      <c r="A36" s="2"/>
      <c r="B36" s="2"/>
      <c r="C36" s="2"/>
      <c r="D36" s="2" t="s">
        <v>897</v>
      </c>
      <c r="E36" s="2"/>
      <c r="G36" s="7" t="s">
        <v>898</v>
      </c>
      <c r="I36" s="9" t="s">
        <v>899</v>
      </c>
      <c r="L36" s="34" t="s">
        <v>144</v>
      </c>
      <c r="M36" s="34" t="s">
        <v>145</v>
      </c>
    </row>
    <row r="37" spans="1:13" ht="15" x14ac:dyDescent="0.2">
      <c r="A37" s="2"/>
      <c r="B37" s="2"/>
      <c r="C37" s="2"/>
      <c r="D37" s="2" t="s">
        <v>900</v>
      </c>
      <c r="E37" s="2"/>
      <c r="G37" s="7" t="s">
        <v>901</v>
      </c>
      <c r="I37" s="8" t="s">
        <v>902</v>
      </c>
      <c r="L37" s="34" t="s">
        <v>146</v>
      </c>
      <c r="M37" s="34" t="s">
        <v>147</v>
      </c>
    </row>
    <row r="38" spans="1:13" ht="15" x14ac:dyDescent="0.2">
      <c r="A38" s="2"/>
      <c r="B38" s="2"/>
      <c r="C38" s="2"/>
      <c r="D38" s="2" t="s">
        <v>903</v>
      </c>
      <c r="E38" s="2"/>
      <c r="G38" s="7" t="s">
        <v>904</v>
      </c>
      <c r="I38" s="9" t="s">
        <v>905</v>
      </c>
      <c r="L38" s="34" t="s">
        <v>148</v>
      </c>
      <c r="M38" s="34" t="s">
        <v>149</v>
      </c>
    </row>
    <row r="39" spans="1:13" ht="15" x14ac:dyDescent="0.2">
      <c r="A39" s="2"/>
      <c r="B39" s="2"/>
      <c r="C39" s="2"/>
      <c r="D39" s="2" t="s">
        <v>906</v>
      </c>
      <c r="E39" s="2"/>
      <c r="G39" s="7" t="s">
        <v>907</v>
      </c>
      <c r="I39" s="8" t="s">
        <v>908</v>
      </c>
      <c r="L39" s="34" t="s">
        <v>150</v>
      </c>
      <c r="M39" s="34" t="s">
        <v>151</v>
      </c>
    </row>
    <row r="40" spans="1:13" ht="15" x14ac:dyDescent="0.2">
      <c r="A40" s="2"/>
      <c r="B40" s="2"/>
      <c r="C40" s="2"/>
      <c r="D40" s="2" t="s">
        <v>909</v>
      </c>
      <c r="E40" s="2"/>
      <c r="G40" s="7" t="s">
        <v>910</v>
      </c>
      <c r="I40" s="9" t="s">
        <v>911</v>
      </c>
      <c r="L40" s="34" t="s">
        <v>152</v>
      </c>
      <c r="M40" s="34" t="s">
        <v>153</v>
      </c>
    </row>
    <row r="41" spans="1:13" ht="15" x14ac:dyDescent="0.2">
      <c r="A41" s="2"/>
      <c r="B41" s="2"/>
      <c r="C41" s="2"/>
      <c r="D41" s="2" t="s">
        <v>912</v>
      </c>
      <c r="E41" s="2"/>
      <c r="G41" s="7" t="s">
        <v>913</v>
      </c>
      <c r="I41" s="8" t="s">
        <v>914</v>
      </c>
      <c r="L41" s="34" t="s">
        <v>154</v>
      </c>
      <c r="M41" s="34" t="s">
        <v>155</v>
      </c>
    </row>
    <row r="42" spans="1:13" ht="15" x14ac:dyDescent="0.2">
      <c r="A42" s="2"/>
      <c r="B42" s="2"/>
      <c r="C42" s="2"/>
      <c r="D42" s="2" t="s">
        <v>915</v>
      </c>
      <c r="E42" s="2"/>
      <c r="G42" s="7" t="s">
        <v>916</v>
      </c>
      <c r="I42" s="9" t="s">
        <v>917</v>
      </c>
      <c r="L42" s="34" t="s">
        <v>156</v>
      </c>
      <c r="M42" s="34" t="s">
        <v>157</v>
      </c>
    </row>
    <row r="43" spans="1:13" ht="15" x14ac:dyDescent="0.2">
      <c r="A43" s="2"/>
      <c r="B43" s="2"/>
      <c r="C43" s="2"/>
      <c r="D43" s="2" t="s">
        <v>918</v>
      </c>
      <c r="E43" s="2"/>
      <c r="G43" s="7" t="s">
        <v>919</v>
      </c>
      <c r="I43" s="8" t="s">
        <v>920</v>
      </c>
      <c r="L43" s="34" t="s">
        <v>158</v>
      </c>
      <c r="M43" s="34" t="s">
        <v>159</v>
      </c>
    </row>
    <row r="44" spans="1:13" ht="15" x14ac:dyDescent="0.2">
      <c r="A44" s="2"/>
      <c r="B44" s="2"/>
      <c r="C44" s="2"/>
      <c r="D44" s="2" t="s">
        <v>921</v>
      </c>
      <c r="E44" s="2"/>
      <c r="G44" s="7" t="s">
        <v>922</v>
      </c>
      <c r="I44" s="9" t="s">
        <v>923</v>
      </c>
      <c r="L44" s="34" t="s">
        <v>160</v>
      </c>
      <c r="M44" s="34" t="s">
        <v>161</v>
      </c>
    </row>
    <row r="45" spans="1:13" ht="15" x14ac:dyDescent="0.2">
      <c r="A45" s="2"/>
      <c r="B45" s="2"/>
      <c r="C45" s="2"/>
      <c r="D45" s="2" t="s">
        <v>924</v>
      </c>
      <c r="E45" s="2"/>
      <c r="G45" s="7" t="s">
        <v>925</v>
      </c>
      <c r="I45" s="8" t="s">
        <v>926</v>
      </c>
      <c r="L45" s="34" t="s">
        <v>162</v>
      </c>
      <c r="M45" s="34" t="s">
        <v>163</v>
      </c>
    </row>
    <row r="46" spans="1:13" ht="15" x14ac:dyDescent="0.2">
      <c r="A46" s="2"/>
      <c r="B46" s="2"/>
      <c r="C46" s="2"/>
      <c r="D46" s="2" t="s">
        <v>927</v>
      </c>
      <c r="E46" s="2"/>
      <c r="G46" s="7" t="s">
        <v>928</v>
      </c>
      <c r="I46" s="9" t="s">
        <v>929</v>
      </c>
      <c r="L46" s="34" t="s">
        <v>164</v>
      </c>
      <c r="M46" s="34" t="s">
        <v>165</v>
      </c>
    </row>
    <row r="47" spans="1:13" ht="15" x14ac:dyDescent="0.2">
      <c r="A47" s="2"/>
      <c r="B47" s="2"/>
      <c r="C47" s="2"/>
      <c r="D47" s="2" t="s">
        <v>930</v>
      </c>
      <c r="E47" s="2"/>
      <c r="G47" s="7" t="s">
        <v>931</v>
      </c>
      <c r="I47" s="8" t="s">
        <v>932</v>
      </c>
      <c r="L47" s="34" t="s">
        <v>166</v>
      </c>
      <c r="M47" s="34" t="s">
        <v>167</v>
      </c>
    </row>
    <row r="48" spans="1:13" ht="15" x14ac:dyDescent="0.2">
      <c r="A48" s="2"/>
      <c r="B48" s="2"/>
      <c r="C48" s="2"/>
      <c r="D48" s="2" t="s">
        <v>933</v>
      </c>
      <c r="E48" s="2"/>
      <c r="G48" s="7" t="s">
        <v>934</v>
      </c>
      <c r="I48" s="9" t="s">
        <v>935</v>
      </c>
      <c r="L48" s="34" t="s">
        <v>168</v>
      </c>
      <c r="M48" s="34" t="s">
        <v>169</v>
      </c>
    </row>
    <row r="49" spans="1:13" ht="15" x14ac:dyDescent="0.2">
      <c r="A49" s="2"/>
      <c r="B49" s="2"/>
      <c r="C49" s="2"/>
      <c r="D49" s="2" t="s">
        <v>936</v>
      </c>
      <c r="E49" s="2"/>
      <c r="G49" s="7" t="s">
        <v>937</v>
      </c>
      <c r="I49" s="8" t="s">
        <v>938</v>
      </c>
      <c r="L49" s="34" t="s">
        <v>170</v>
      </c>
      <c r="M49" s="34" t="s">
        <v>171</v>
      </c>
    </row>
    <row r="50" spans="1:13" ht="15" x14ac:dyDescent="0.2">
      <c r="A50" s="2"/>
      <c r="B50" s="2"/>
      <c r="C50" s="2"/>
      <c r="D50" s="2" t="s">
        <v>939</v>
      </c>
      <c r="E50" s="2"/>
      <c r="G50" s="7" t="s">
        <v>940</v>
      </c>
      <c r="I50" s="9" t="s">
        <v>941</v>
      </c>
      <c r="L50" s="34" t="s">
        <v>172</v>
      </c>
      <c r="M50" s="34" t="s">
        <v>173</v>
      </c>
    </row>
    <row r="51" spans="1:13" ht="15" x14ac:dyDescent="0.2">
      <c r="A51" s="2"/>
      <c r="B51" s="2"/>
      <c r="C51" s="2"/>
      <c r="D51" s="2" t="s">
        <v>942</v>
      </c>
      <c r="E51" s="2"/>
      <c r="G51" s="7" t="s">
        <v>943</v>
      </c>
      <c r="I51" s="8" t="s">
        <v>944</v>
      </c>
      <c r="L51" s="34" t="s">
        <v>174</v>
      </c>
      <c r="M51" s="34" t="s">
        <v>175</v>
      </c>
    </row>
    <row r="52" spans="1:13" ht="15" x14ac:dyDescent="0.2">
      <c r="A52" s="2"/>
      <c r="B52" s="2"/>
      <c r="C52" s="2"/>
      <c r="D52" s="2" t="s">
        <v>945</v>
      </c>
      <c r="E52" s="2"/>
      <c r="G52" s="7" t="s">
        <v>946</v>
      </c>
      <c r="I52" s="9" t="s">
        <v>947</v>
      </c>
      <c r="L52" s="34" t="s">
        <v>176</v>
      </c>
      <c r="M52" s="34" t="s">
        <v>177</v>
      </c>
    </row>
    <row r="53" spans="1:13" ht="15" x14ac:dyDescent="0.2">
      <c r="A53" s="2"/>
      <c r="B53" s="2"/>
      <c r="C53" s="2"/>
      <c r="D53" s="2" t="s">
        <v>948</v>
      </c>
      <c r="E53" s="2"/>
      <c r="G53" s="7" t="s">
        <v>949</v>
      </c>
      <c r="I53" s="8" t="s">
        <v>950</v>
      </c>
      <c r="L53" s="34" t="s">
        <v>178</v>
      </c>
      <c r="M53" s="34" t="s">
        <v>179</v>
      </c>
    </row>
    <row r="54" spans="1:13" ht="15" x14ac:dyDescent="0.2">
      <c r="A54" s="2"/>
      <c r="B54" s="2"/>
      <c r="C54" s="2"/>
      <c r="D54" s="2" t="s">
        <v>951</v>
      </c>
      <c r="E54" s="2"/>
      <c r="G54" s="7" t="s">
        <v>952</v>
      </c>
      <c r="I54" s="9" t="s">
        <v>953</v>
      </c>
      <c r="L54" s="34" t="s">
        <v>180</v>
      </c>
      <c r="M54" s="34" t="s">
        <v>181</v>
      </c>
    </row>
    <row r="55" spans="1:13" ht="15" x14ac:dyDescent="0.2">
      <c r="A55" s="2"/>
      <c r="B55" s="2"/>
      <c r="C55" s="2"/>
      <c r="D55" s="2" t="s">
        <v>954</v>
      </c>
      <c r="E55" s="2"/>
      <c r="G55" s="7" t="s">
        <v>955</v>
      </c>
      <c r="I55" s="8" t="s">
        <v>956</v>
      </c>
      <c r="L55" s="34" t="s">
        <v>182</v>
      </c>
      <c r="M55" s="34" t="s">
        <v>183</v>
      </c>
    </row>
    <row r="56" spans="1:13" ht="15" x14ac:dyDescent="0.2">
      <c r="A56" s="2"/>
      <c r="B56" s="2"/>
      <c r="C56" s="2"/>
      <c r="D56" s="2" t="s">
        <v>957</v>
      </c>
      <c r="E56" s="2"/>
      <c r="G56" s="7" t="s">
        <v>958</v>
      </c>
      <c r="I56" s="9" t="s">
        <v>959</v>
      </c>
      <c r="L56" s="34" t="s">
        <v>184</v>
      </c>
      <c r="M56" s="34" t="s">
        <v>185</v>
      </c>
    </row>
    <row r="57" spans="1:13" ht="15" x14ac:dyDescent="0.2">
      <c r="A57" s="2"/>
      <c r="B57" s="2"/>
      <c r="C57" s="2"/>
      <c r="D57" s="2" t="s">
        <v>960</v>
      </c>
      <c r="E57" s="2"/>
      <c r="G57" s="7" t="s">
        <v>961</v>
      </c>
      <c r="I57" s="8" t="s">
        <v>962</v>
      </c>
      <c r="L57" s="34" t="s">
        <v>186</v>
      </c>
      <c r="M57" s="34" t="s">
        <v>187</v>
      </c>
    </row>
    <row r="58" spans="1:13" ht="15" x14ac:dyDescent="0.2">
      <c r="A58" s="2"/>
      <c r="B58" s="2"/>
      <c r="C58" s="2"/>
      <c r="D58" s="2" t="s">
        <v>963</v>
      </c>
      <c r="E58" s="2"/>
      <c r="G58" s="7" t="s">
        <v>964</v>
      </c>
      <c r="I58" s="9" t="s">
        <v>965</v>
      </c>
      <c r="L58" s="34" t="s">
        <v>188</v>
      </c>
      <c r="M58" s="34" t="s">
        <v>189</v>
      </c>
    </row>
    <row r="59" spans="1:13" ht="15" x14ac:dyDescent="0.2">
      <c r="A59" s="2"/>
      <c r="B59" s="2"/>
      <c r="C59" s="2"/>
      <c r="D59" s="2" t="s">
        <v>966</v>
      </c>
      <c r="E59" s="2"/>
      <c r="G59" s="7" t="s">
        <v>967</v>
      </c>
      <c r="I59" s="8" t="s">
        <v>968</v>
      </c>
      <c r="L59" s="34" t="s">
        <v>190</v>
      </c>
      <c r="M59" s="34" t="s">
        <v>191</v>
      </c>
    </row>
    <row r="60" spans="1:13" ht="15" x14ac:dyDescent="0.2">
      <c r="A60" s="2"/>
      <c r="B60" s="2"/>
      <c r="C60" s="2"/>
      <c r="D60" s="2" t="s">
        <v>969</v>
      </c>
      <c r="E60" s="2"/>
      <c r="G60" s="7" t="s">
        <v>970</v>
      </c>
      <c r="I60" s="9" t="s">
        <v>971</v>
      </c>
      <c r="L60" s="34" t="s">
        <v>192</v>
      </c>
      <c r="M60" s="34" t="s">
        <v>193</v>
      </c>
    </row>
    <row r="61" spans="1:13" ht="15" x14ac:dyDescent="0.2">
      <c r="A61" s="2"/>
      <c r="B61" s="2"/>
      <c r="C61" s="2"/>
      <c r="D61" s="2" t="s">
        <v>972</v>
      </c>
      <c r="E61" s="2"/>
      <c r="G61" s="7" t="s">
        <v>973</v>
      </c>
      <c r="I61" s="8" t="s">
        <v>974</v>
      </c>
      <c r="L61" s="34" t="s">
        <v>194</v>
      </c>
      <c r="M61" s="34" t="s">
        <v>195</v>
      </c>
    </row>
    <row r="62" spans="1:13" ht="15" x14ac:dyDescent="0.2">
      <c r="A62" s="2"/>
      <c r="B62" s="2"/>
      <c r="C62" s="2"/>
      <c r="D62" s="2" t="s">
        <v>975</v>
      </c>
      <c r="E62" s="2"/>
      <c r="G62" s="7" t="s">
        <v>976</v>
      </c>
      <c r="I62" s="9" t="s">
        <v>977</v>
      </c>
      <c r="L62" s="34" t="s">
        <v>196</v>
      </c>
      <c r="M62" s="34" t="s">
        <v>197</v>
      </c>
    </row>
    <row r="63" spans="1:13" ht="15" x14ac:dyDescent="0.2">
      <c r="A63" s="2"/>
      <c r="B63" s="2"/>
      <c r="C63" s="2"/>
      <c r="D63" s="2"/>
      <c r="E63" s="2"/>
      <c r="G63" s="7" t="s">
        <v>978</v>
      </c>
      <c r="I63" s="8" t="s">
        <v>979</v>
      </c>
      <c r="L63" s="34" t="s">
        <v>198</v>
      </c>
      <c r="M63" s="34" t="s">
        <v>199</v>
      </c>
    </row>
    <row r="64" spans="1:13" ht="15" x14ac:dyDescent="0.2">
      <c r="A64" s="2"/>
      <c r="B64" s="2"/>
      <c r="C64" s="2"/>
      <c r="D64" s="2"/>
      <c r="E64" s="2"/>
      <c r="G64" s="7" t="s">
        <v>980</v>
      </c>
      <c r="I64" s="9" t="s">
        <v>981</v>
      </c>
      <c r="L64" s="34" t="s">
        <v>200</v>
      </c>
      <c r="M64" s="34" t="s">
        <v>201</v>
      </c>
    </row>
    <row r="65" spans="1:13" ht="15" x14ac:dyDescent="0.2">
      <c r="A65" s="2"/>
      <c r="B65" s="2"/>
      <c r="C65" s="2"/>
      <c r="D65" s="2"/>
      <c r="E65" s="2"/>
      <c r="G65" s="7" t="s">
        <v>982</v>
      </c>
      <c r="I65" s="8" t="s">
        <v>983</v>
      </c>
      <c r="L65" s="34" t="s">
        <v>202</v>
      </c>
      <c r="M65" s="34" t="s">
        <v>203</v>
      </c>
    </row>
    <row r="66" spans="1:13" ht="15" x14ac:dyDescent="0.2">
      <c r="A66" s="2"/>
      <c r="B66" s="2"/>
      <c r="C66" s="2"/>
      <c r="D66" s="2"/>
      <c r="E66" s="2"/>
      <c r="G66" s="7" t="s">
        <v>984</v>
      </c>
      <c r="I66" s="9" t="s">
        <v>985</v>
      </c>
      <c r="L66" s="34" t="s">
        <v>204</v>
      </c>
      <c r="M66" s="34" t="s">
        <v>205</v>
      </c>
    </row>
    <row r="67" spans="1:13" ht="15" x14ac:dyDescent="0.2">
      <c r="A67" s="2"/>
      <c r="B67" s="2"/>
      <c r="C67" s="2"/>
      <c r="D67" s="2"/>
      <c r="E67" s="2"/>
      <c r="G67" s="7" t="s">
        <v>986</v>
      </c>
      <c r="I67" s="8" t="s">
        <v>987</v>
      </c>
      <c r="L67" s="34" t="s">
        <v>206</v>
      </c>
      <c r="M67" s="34" t="s">
        <v>207</v>
      </c>
    </row>
    <row r="68" spans="1:13" ht="15" x14ac:dyDescent="0.2">
      <c r="A68" s="2"/>
      <c r="B68" s="2"/>
      <c r="C68" s="2"/>
      <c r="D68" s="2"/>
      <c r="E68" s="2"/>
      <c r="G68" s="7" t="s">
        <v>988</v>
      </c>
      <c r="I68" s="9" t="s">
        <v>989</v>
      </c>
      <c r="L68" s="34" t="s">
        <v>208</v>
      </c>
      <c r="M68" s="34" t="s">
        <v>135</v>
      </c>
    </row>
    <row r="69" spans="1:13" ht="15" x14ac:dyDescent="0.2">
      <c r="A69" s="2"/>
      <c r="B69" s="2"/>
      <c r="C69" s="2"/>
      <c r="D69" s="2"/>
      <c r="E69" s="2"/>
      <c r="G69" s="7" t="s">
        <v>990</v>
      </c>
      <c r="I69" s="8" t="s">
        <v>991</v>
      </c>
      <c r="L69" s="34" t="s">
        <v>209</v>
      </c>
      <c r="M69" s="34" t="s">
        <v>210</v>
      </c>
    </row>
    <row r="70" spans="1:13" ht="15" x14ac:dyDescent="0.2">
      <c r="A70" s="2"/>
      <c r="B70" s="2"/>
      <c r="C70" s="2"/>
      <c r="D70" s="2"/>
      <c r="E70" s="2"/>
      <c r="G70" s="7" t="s">
        <v>992</v>
      </c>
      <c r="L70" s="34" t="s">
        <v>211</v>
      </c>
      <c r="M70" s="34" t="s">
        <v>212</v>
      </c>
    </row>
    <row r="71" spans="1:13" ht="15" x14ac:dyDescent="0.2">
      <c r="A71" s="2"/>
      <c r="B71" s="2"/>
      <c r="C71" s="2"/>
      <c r="D71" s="2"/>
      <c r="E71" s="2"/>
      <c r="G71" s="7" t="s">
        <v>993</v>
      </c>
      <c r="L71" s="34" t="s">
        <v>213</v>
      </c>
      <c r="M71" s="34" t="s">
        <v>214</v>
      </c>
    </row>
    <row r="72" spans="1:13" ht="15" x14ac:dyDescent="0.2">
      <c r="A72" s="2"/>
      <c r="B72" s="2"/>
      <c r="C72" s="2"/>
      <c r="D72" s="2"/>
      <c r="E72" s="2"/>
      <c r="G72" s="7" t="s">
        <v>994</v>
      </c>
      <c r="L72" s="34" t="s">
        <v>215</v>
      </c>
      <c r="M72" s="34" t="s">
        <v>216</v>
      </c>
    </row>
    <row r="73" spans="1:13" ht="15" x14ac:dyDescent="0.2">
      <c r="A73" s="2"/>
      <c r="B73" s="2"/>
      <c r="C73" s="2"/>
      <c r="D73" s="2"/>
      <c r="E73" s="2"/>
      <c r="G73" s="7" t="s">
        <v>995</v>
      </c>
      <c r="L73" s="34" t="s">
        <v>217</v>
      </c>
      <c r="M73" s="34" t="s">
        <v>218</v>
      </c>
    </row>
    <row r="74" spans="1:13" ht="15" x14ac:dyDescent="0.2">
      <c r="A74" s="2"/>
      <c r="B74" s="2"/>
      <c r="C74" s="2"/>
      <c r="D74" s="2"/>
      <c r="E74" s="2"/>
      <c r="G74" s="7" t="s">
        <v>996</v>
      </c>
      <c r="L74" s="34" t="s">
        <v>219</v>
      </c>
      <c r="M74" s="34" t="s">
        <v>220</v>
      </c>
    </row>
    <row r="75" spans="1:13" ht="15" x14ac:dyDescent="0.2">
      <c r="A75" s="2"/>
      <c r="B75" s="2"/>
      <c r="C75" s="2"/>
      <c r="D75" s="2"/>
      <c r="E75" s="2"/>
      <c r="G75" s="7" t="s">
        <v>997</v>
      </c>
      <c r="L75" s="34" t="s">
        <v>221</v>
      </c>
      <c r="M75" s="34" t="s">
        <v>222</v>
      </c>
    </row>
    <row r="76" spans="1:13" ht="15" x14ac:dyDescent="0.2">
      <c r="A76" s="2"/>
      <c r="B76" s="2"/>
      <c r="C76" s="2"/>
      <c r="D76" s="2"/>
      <c r="E76" s="2"/>
      <c r="G76" s="7" t="s">
        <v>998</v>
      </c>
      <c r="L76" s="34" t="s">
        <v>223</v>
      </c>
      <c r="M76" s="34" t="s">
        <v>224</v>
      </c>
    </row>
    <row r="77" spans="1:13" ht="15" x14ac:dyDescent="0.2">
      <c r="A77" s="2"/>
      <c r="B77" s="2"/>
      <c r="C77" s="2"/>
      <c r="D77" s="2"/>
      <c r="E77" s="2"/>
      <c r="G77" s="7" t="s">
        <v>999</v>
      </c>
      <c r="L77" s="34" t="s">
        <v>225</v>
      </c>
      <c r="M77" s="34" t="s">
        <v>226</v>
      </c>
    </row>
    <row r="78" spans="1:13" ht="15" x14ac:dyDescent="0.2">
      <c r="A78" s="2"/>
      <c r="B78" s="2"/>
      <c r="C78" s="2"/>
      <c r="D78" s="2"/>
      <c r="E78" s="2"/>
      <c r="G78" s="7" t="s">
        <v>1000</v>
      </c>
      <c r="L78" s="34" t="s">
        <v>227</v>
      </c>
      <c r="M78" s="34" t="s">
        <v>228</v>
      </c>
    </row>
    <row r="79" spans="1:13" ht="15" x14ac:dyDescent="0.2">
      <c r="A79" s="2"/>
      <c r="B79" s="2"/>
      <c r="C79" s="2"/>
      <c r="D79" s="2"/>
      <c r="E79" s="2"/>
      <c r="G79" s="7" t="s">
        <v>1001</v>
      </c>
      <c r="L79" s="34" t="s">
        <v>229</v>
      </c>
      <c r="M79" s="34" t="s">
        <v>230</v>
      </c>
    </row>
    <row r="80" spans="1:13" ht="15" x14ac:dyDescent="0.2">
      <c r="A80" s="2"/>
      <c r="B80" s="2"/>
      <c r="C80" s="2"/>
      <c r="D80" s="2"/>
      <c r="E80" s="2"/>
      <c r="G80" s="7" t="s">
        <v>1002</v>
      </c>
      <c r="L80" s="34" t="s">
        <v>231</v>
      </c>
      <c r="M80" s="34" t="s">
        <v>232</v>
      </c>
    </row>
    <row r="81" spans="1:13" ht="15" x14ac:dyDescent="0.2">
      <c r="A81" s="2"/>
      <c r="B81" s="2"/>
      <c r="C81" s="2"/>
      <c r="D81" s="2"/>
      <c r="E81" s="2"/>
      <c r="G81" s="7" t="s">
        <v>1003</v>
      </c>
      <c r="L81" s="34" t="s">
        <v>233</v>
      </c>
      <c r="M81" s="34" t="s">
        <v>234</v>
      </c>
    </row>
    <row r="82" spans="1:13" ht="15" x14ac:dyDescent="0.2">
      <c r="A82" s="2"/>
      <c r="B82" s="2"/>
      <c r="C82" s="2"/>
      <c r="D82" s="2"/>
      <c r="E82" s="2"/>
      <c r="G82" s="7" t="s">
        <v>1004</v>
      </c>
      <c r="L82" s="34" t="s">
        <v>235</v>
      </c>
      <c r="M82" s="34" t="s">
        <v>236</v>
      </c>
    </row>
    <row r="83" spans="1:13" ht="15" x14ac:dyDescent="0.2">
      <c r="A83" s="2"/>
      <c r="B83" s="2"/>
      <c r="C83" s="2"/>
      <c r="D83" s="2"/>
      <c r="E83" s="2"/>
      <c r="G83" s="7" t="s">
        <v>1005</v>
      </c>
      <c r="L83" s="34" t="s">
        <v>237</v>
      </c>
      <c r="M83" s="34" t="s">
        <v>238</v>
      </c>
    </row>
    <row r="84" spans="1:13" ht="15" x14ac:dyDescent="0.2">
      <c r="A84" s="2"/>
      <c r="B84" s="2"/>
      <c r="C84" s="2"/>
      <c r="D84" s="2"/>
      <c r="E84" s="2"/>
      <c r="G84" s="7" t="s">
        <v>1006</v>
      </c>
      <c r="L84" s="34" t="s">
        <v>239</v>
      </c>
      <c r="M84" s="34" t="s">
        <v>240</v>
      </c>
    </row>
    <row r="85" spans="1:13" ht="15" x14ac:dyDescent="0.2">
      <c r="A85" s="2"/>
      <c r="B85" s="2"/>
      <c r="C85" s="2"/>
      <c r="D85" s="2"/>
      <c r="E85" s="2"/>
      <c r="G85" s="7" t="s">
        <v>1007</v>
      </c>
      <c r="L85" s="34" t="s">
        <v>241</v>
      </c>
      <c r="M85" s="34" t="s">
        <v>242</v>
      </c>
    </row>
    <row r="86" spans="1:13" ht="15" x14ac:dyDescent="0.2">
      <c r="A86" s="2"/>
      <c r="B86" s="2"/>
      <c r="C86" s="2"/>
      <c r="D86" s="2"/>
      <c r="E86" s="2"/>
      <c r="G86" s="7" t="s">
        <v>1008</v>
      </c>
      <c r="L86" s="34" t="s">
        <v>243</v>
      </c>
      <c r="M86" s="34" t="s">
        <v>244</v>
      </c>
    </row>
    <row r="87" spans="1:13" ht="15" x14ac:dyDescent="0.2">
      <c r="A87" s="2"/>
      <c r="B87" s="2"/>
      <c r="C87" s="2"/>
      <c r="D87" s="2"/>
      <c r="E87" s="2"/>
      <c r="G87" s="7" t="s">
        <v>1009</v>
      </c>
      <c r="L87" s="34" t="s">
        <v>245</v>
      </c>
      <c r="M87" s="34" t="s">
        <v>246</v>
      </c>
    </row>
    <row r="88" spans="1:13" ht="15" x14ac:dyDescent="0.2">
      <c r="A88" s="2"/>
      <c r="B88" s="2"/>
      <c r="C88" s="2"/>
      <c r="D88" s="2"/>
      <c r="E88" s="2"/>
      <c r="G88" s="7" t="s">
        <v>1010</v>
      </c>
      <c r="L88" s="34" t="s">
        <v>247</v>
      </c>
      <c r="M88" s="34" t="s">
        <v>248</v>
      </c>
    </row>
    <row r="89" spans="1:13" ht="15" x14ac:dyDescent="0.2">
      <c r="A89" s="2"/>
      <c r="B89" s="2"/>
      <c r="C89" s="2"/>
      <c r="D89" s="2"/>
      <c r="E89" s="2"/>
      <c r="G89" s="7" t="s">
        <v>1011</v>
      </c>
      <c r="L89" s="34" t="s">
        <v>249</v>
      </c>
      <c r="M89" s="34" t="s">
        <v>250</v>
      </c>
    </row>
    <row r="90" spans="1:13" ht="15" x14ac:dyDescent="0.2">
      <c r="A90" s="2"/>
      <c r="B90" s="2"/>
      <c r="C90" s="2"/>
      <c r="D90" s="2"/>
      <c r="E90" s="2"/>
      <c r="G90" s="7" t="s">
        <v>1012</v>
      </c>
      <c r="L90" s="34" t="s">
        <v>251</v>
      </c>
      <c r="M90" s="34" t="s">
        <v>252</v>
      </c>
    </row>
    <row r="91" spans="1:13" ht="15" x14ac:dyDescent="0.2">
      <c r="A91" s="2"/>
      <c r="B91" s="2"/>
      <c r="C91" s="2"/>
      <c r="D91" s="2"/>
      <c r="E91" s="2"/>
      <c r="G91" s="7" t="s">
        <v>1013</v>
      </c>
      <c r="L91" s="34" t="s">
        <v>253</v>
      </c>
      <c r="M91" s="34" t="s">
        <v>254</v>
      </c>
    </row>
    <row r="92" spans="1:13" ht="15" x14ac:dyDescent="0.2">
      <c r="A92" s="2"/>
      <c r="B92" s="2"/>
      <c r="C92" s="2"/>
      <c r="D92" s="2"/>
      <c r="E92" s="2"/>
      <c r="G92" s="7" t="s">
        <v>1014</v>
      </c>
      <c r="L92" s="34" t="s">
        <v>255</v>
      </c>
      <c r="M92" s="34" t="s">
        <v>256</v>
      </c>
    </row>
    <row r="93" spans="1:13" ht="15" x14ac:dyDescent="0.2">
      <c r="A93" s="2"/>
      <c r="B93" s="2"/>
      <c r="C93" s="2"/>
      <c r="D93" s="2"/>
      <c r="E93" s="2"/>
      <c r="G93" s="7" t="s">
        <v>1015</v>
      </c>
      <c r="L93" s="34" t="s">
        <v>257</v>
      </c>
      <c r="M93" s="34" t="s">
        <v>258</v>
      </c>
    </row>
    <row r="94" spans="1:13" ht="15" x14ac:dyDescent="0.2">
      <c r="A94" s="2"/>
      <c r="B94" s="2"/>
      <c r="C94" s="2"/>
      <c r="D94" s="2"/>
      <c r="E94" s="2"/>
      <c r="G94" s="7" t="s">
        <v>1016</v>
      </c>
      <c r="L94" s="34" t="s">
        <v>259</v>
      </c>
      <c r="M94" s="34" t="s">
        <v>260</v>
      </c>
    </row>
    <row r="95" spans="1:13" ht="15" x14ac:dyDescent="0.2">
      <c r="A95" s="2"/>
      <c r="B95" s="2"/>
      <c r="C95" s="2"/>
      <c r="D95" s="2"/>
      <c r="E95" s="2"/>
      <c r="G95" s="7" t="s">
        <v>1017</v>
      </c>
      <c r="L95" s="34" t="s">
        <v>261</v>
      </c>
      <c r="M95" s="34" t="s">
        <v>262</v>
      </c>
    </row>
    <row r="96" spans="1:13" ht="15" x14ac:dyDescent="0.2">
      <c r="A96" s="2"/>
      <c r="B96" s="2"/>
      <c r="C96" s="2"/>
      <c r="D96" s="2"/>
      <c r="E96" s="2"/>
      <c r="G96" s="7" t="s">
        <v>1018</v>
      </c>
      <c r="L96" s="34" t="s">
        <v>263</v>
      </c>
      <c r="M96" s="34" t="s">
        <v>264</v>
      </c>
    </row>
    <row r="97" spans="1:13" ht="15" x14ac:dyDescent="0.2">
      <c r="A97" s="2"/>
      <c r="B97" s="2"/>
      <c r="C97" s="2"/>
      <c r="D97" s="2"/>
      <c r="E97" s="2"/>
      <c r="G97" s="7" t="s">
        <v>1019</v>
      </c>
      <c r="L97" s="34" t="s">
        <v>265</v>
      </c>
      <c r="M97" s="34" t="s">
        <v>266</v>
      </c>
    </row>
    <row r="98" spans="1:13" ht="15" x14ac:dyDescent="0.2">
      <c r="A98" s="2"/>
      <c r="B98" s="2"/>
      <c r="C98" s="2"/>
      <c r="D98" s="2"/>
      <c r="E98" s="2"/>
      <c r="G98" s="7" t="s">
        <v>1020</v>
      </c>
      <c r="L98" s="34" t="s">
        <v>267</v>
      </c>
      <c r="M98" s="34" t="s">
        <v>268</v>
      </c>
    </row>
    <row r="99" spans="1:13" ht="15" x14ac:dyDescent="0.2">
      <c r="A99" s="2"/>
      <c r="B99" s="2"/>
      <c r="C99" s="2"/>
      <c r="D99" s="2"/>
      <c r="E99" s="2"/>
      <c r="G99" s="7" t="s">
        <v>1021</v>
      </c>
      <c r="L99" s="34" t="s">
        <v>269</v>
      </c>
      <c r="M99" s="34" t="s">
        <v>270</v>
      </c>
    </row>
    <row r="100" spans="1:13" ht="15" x14ac:dyDescent="0.2">
      <c r="A100" s="2"/>
      <c r="B100" s="2"/>
      <c r="C100" s="2"/>
      <c r="D100" s="2"/>
      <c r="E100" s="2"/>
      <c r="G100" s="7" t="s">
        <v>1022</v>
      </c>
      <c r="L100" s="34" t="s">
        <v>271</v>
      </c>
      <c r="M100" s="34" t="s">
        <v>272</v>
      </c>
    </row>
    <row r="101" spans="1:13" ht="15" x14ac:dyDescent="0.2">
      <c r="A101" s="2"/>
      <c r="B101" s="2"/>
      <c r="C101" s="2"/>
      <c r="D101" s="2"/>
      <c r="E101" s="2"/>
      <c r="G101" s="7" t="s">
        <v>1023</v>
      </c>
      <c r="L101" s="34" t="s">
        <v>273</v>
      </c>
      <c r="M101" s="34" t="s">
        <v>274</v>
      </c>
    </row>
    <row r="102" spans="1:13" ht="15" x14ac:dyDescent="0.2">
      <c r="G102" s="7" t="s">
        <v>1024</v>
      </c>
      <c r="L102" s="34" t="s">
        <v>275</v>
      </c>
      <c r="M102" s="34" t="s">
        <v>276</v>
      </c>
    </row>
    <row r="103" spans="1:13" ht="15" x14ac:dyDescent="0.2">
      <c r="G103" s="7" t="s">
        <v>1025</v>
      </c>
      <c r="L103" s="34" t="s">
        <v>277</v>
      </c>
      <c r="M103" s="34" t="s">
        <v>278</v>
      </c>
    </row>
    <row r="104" spans="1:13" ht="15" x14ac:dyDescent="0.2">
      <c r="G104" s="7" t="s">
        <v>1026</v>
      </c>
      <c r="L104" s="34" t="s">
        <v>279</v>
      </c>
      <c r="M104" s="34" t="s">
        <v>280</v>
      </c>
    </row>
    <row r="105" spans="1:13" ht="15" x14ac:dyDescent="0.2">
      <c r="G105" s="7" t="s">
        <v>1027</v>
      </c>
      <c r="L105" s="34" t="s">
        <v>281</v>
      </c>
      <c r="M105" s="34" t="s">
        <v>282</v>
      </c>
    </row>
    <row r="106" spans="1:13" ht="15" x14ac:dyDescent="0.2">
      <c r="G106" s="7" t="s">
        <v>1028</v>
      </c>
      <c r="L106" s="34" t="s">
        <v>283</v>
      </c>
      <c r="M106" s="34" t="s">
        <v>284</v>
      </c>
    </row>
    <row r="107" spans="1:13" ht="15" x14ac:dyDescent="0.2">
      <c r="G107" s="7" t="s">
        <v>1029</v>
      </c>
      <c r="L107" s="34" t="s">
        <v>285</v>
      </c>
      <c r="M107" s="34" t="s">
        <v>286</v>
      </c>
    </row>
    <row r="108" spans="1:13" ht="15" x14ac:dyDescent="0.2">
      <c r="G108" s="7" t="s">
        <v>1030</v>
      </c>
      <c r="L108" s="34" t="s">
        <v>287</v>
      </c>
      <c r="M108" s="34" t="s">
        <v>288</v>
      </c>
    </row>
    <row r="109" spans="1:13" ht="15" x14ac:dyDescent="0.2">
      <c r="G109" s="7" t="s">
        <v>1031</v>
      </c>
      <c r="L109" s="34" t="s">
        <v>289</v>
      </c>
      <c r="M109" s="34" t="s">
        <v>290</v>
      </c>
    </row>
    <row r="110" spans="1:13" ht="15" x14ac:dyDescent="0.2">
      <c r="G110" s="7" t="s">
        <v>1032</v>
      </c>
      <c r="L110" s="34" t="s">
        <v>291</v>
      </c>
      <c r="M110" s="34" t="s">
        <v>292</v>
      </c>
    </row>
    <row r="111" spans="1:13" ht="15" x14ac:dyDescent="0.2">
      <c r="G111" s="7" t="s">
        <v>1033</v>
      </c>
      <c r="L111" s="34" t="s">
        <v>293</v>
      </c>
      <c r="M111" s="34" t="s">
        <v>294</v>
      </c>
    </row>
    <row r="112" spans="1:13" ht="15" x14ac:dyDescent="0.2">
      <c r="G112" s="7" t="s">
        <v>1034</v>
      </c>
      <c r="L112" s="34" t="s">
        <v>295</v>
      </c>
      <c r="M112" s="34" t="s">
        <v>296</v>
      </c>
    </row>
    <row r="113" spans="7:13" ht="15" x14ac:dyDescent="0.2">
      <c r="G113" s="7" t="s">
        <v>1035</v>
      </c>
      <c r="L113" s="34" t="s">
        <v>297</v>
      </c>
      <c r="M113" s="34" t="s">
        <v>298</v>
      </c>
    </row>
    <row r="114" spans="7:13" ht="15" x14ac:dyDescent="0.2">
      <c r="G114" s="7" t="s">
        <v>1036</v>
      </c>
      <c r="L114" s="34" t="s">
        <v>299</v>
      </c>
      <c r="M114" s="34" t="s">
        <v>300</v>
      </c>
    </row>
    <row r="115" spans="7:13" ht="15" x14ac:dyDescent="0.2">
      <c r="G115" s="7" t="s">
        <v>1037</v>
      </c>
      <c r="L115" s="34" t="s">
        <v>301</v>
      </c>
      <c r="M115" s="34" t="s">
        <v>302</v>
      </c>
    </row>
    <row r="116" spans="7:13" ht="15" x14ac:dyDescent="0.2">
      <c r="G116" s="7" t="s">
        <v>1038</v>
      </c>
      <c r="L116" s="34" t="s">
        <v>303</v>
      </c>
      <c r="M116" s="34" t="s">
        <v>304</v>
      </c>
    </row>
    <row r="117" spans="7:13" ht="15" x14ac:dyDescent="0.2">
      <c r="G117" s="7" t="s">
        <v>1039</v>
      </c>
      <c r="L117" s="34" t="s">
        <v>305</v>
      </c>
      <c r="M117" s="34" t="s">
        <v>306</v>
      </c>
    </row>
    <row r="118" spans="7:13" ht="15" x14ac:dyDescent="0.2">
      <c r="G118" s="7" t="s">
        <v>1040</v>
      </c>
      <c r="L118" s="34" t="s">
        <v>307</v>
      </c>
      <c r="M118" s="34" t="s">
        <v>308</v>
      </c>
    </row>
    <row r="119" spans="7:13" ht="15" x14ac:dyDescent="0.2">
      <c r="G119" s="7" t="s">
        <v>1041</v>
      </c>
      <c r="L119" s="34" t="s">
        <v>309</v>
      </c>
      <c r="M119" s="34" t="s">
        <v>310</v>
      </c>
    </row>
    <row r="120" spans="7:13" ht="15" x14ac:dyDescent="0.2">
      <c r="G120" s="7" t="s">
        <v>1042</v>
      </c>
      <c r="L120" s="34" t="s">
        <v>311</v>
      </c>
      <c r="M120" s="34" t="s">
        <v>312</v>
      </c>
    </row>
    <row r="121" spans="7:13" ht="15" x14ac:dyDescent="0.2">
      <c r="G121" s="7" t="s">
        <v>1043</v>
      </c>
      <c r="L121" s="34" t="s">
        <v>313</v>
      </c>
      <c r="M121" s="34" t="s">
        <v>314</v>
      </c>
    </row>
    <row r="122" spans="7:13" ht="15" x14ac:dyDescent="0.2">
      <c r="G122" s="7" t="s">
        <v>1044</v>
      </c>
      <c r="L122" s="34" t="s">
        <v>315</v>
      </c>
      <c r="M122" s="34" t="s">
        <v>316</v>
      </c>
    </row>
    <row r="123" spans="7:13" ht="15" x14ac:dyDescent="0.2">
      <c r="G123" s="7" t="s">
        <v>1045</v>
      </c>
      <c r="L123" s="34" t="s">
        <v>317</v>
      </c>
      <c r="M123" s="34" t="s">
        <v>318</v>
      </c>
    </row>
    <row r="124" spans="7:13" ht="15" x14ac:dyDescent="0.2">
      <c r="G124" s="7" t="s">
        <v>1046</v>
      </c>
      <c r="L124" s="34" t="s">
        <v>319</v>
      </c>
      <c r="M124" s="34" t="s">
        <v>320</v>
      </c>
    </row>
    <row r="125" spans="7:13" ht="15" x14ac:dyDescent="0.2">
      <c r="G125" s="7" t="s">
        <v>1047</v>
      </c>
      <c r="L125" s="34" t="s">
        <v>321</v>
      </c>
      <c r="M125" s="34" t="s">
        <v>322</v>
      </c>
    </row>
    <row r="126" spans="7:13" ht="15" x14ac:dyDescent="0.2">
      <c r="G126" s="7" t="s">
        <v>1048</v>
      </c>
      <c r="L126" s="34" t="s">
        <v>323</v>
      </c>
      <c r="M126" s="34" t="s">
        <v>324</v>
      </c>
    </row>
    <row r="127" spans="7:13" ht="15" x14ac:dyDescent="0.2">
      <c r="G127" s="7" t="s">
        <v>1049</v>
      </c>
      <c r="L127" s="34" t="s">
        <v>325</v>
      </c>
      <c r="M127" s="34" t="s">
        <v>326</v>
      </c>
    </row>
    <row r="128" spans="7:13" ht="15" x14ac:dyDescent="0.25">
      <c r="G128" s="7" t="s">
        <v>1050</v>
      </c>
      <c r="L128" s="35" t="s">
        <v>327</v>
      </c>
      <c r="M128" s="34" t="s">
        <v>328</v>
      </c>
    </row>
    <row r="129" spans="7:13" ht="15" x14ac:dyDescent="0.25">
      <c r="G129" s="7" t="s">
        <v>1051</v>
      </c>
      <c r="L129" s="35" t="s">
        <v>329</v>
      </c>
      <c r="M129" s="34" t="s">
        <v>330</v>
      </c>
    </row>
    <row r="130" spans="7:13" ht="15" x14ac:dyDescent="0.25">
      <c r="G130" s="7" t="s">
        <v>1052</v>
      </c>
      <c r="L130" s="35" t="s">
        <v>331</v>
      </c>
      <c r="M130" s="34" t="s">
        <v>332</v>
      </c>
    </row>
    <row r="131" spans="7:13" ht="15" x14ac:dyDescent="0.25">
      <c r="G131" s="7" t="s">
        <v>1053</v>
      </c>
      <c r="L131" s="35" t="s">
        <v>333</v>
      </c>
      <c r="M131" s="34" t="s">
        <v>334</v>
      </c>
    </row>
    <row r="132" spans="7:13" ht="15" x14ac:dyDescent="0.25">
      <c r="G132" s="7" t="s">
        <v>1054</v>
      </c>
      <c r="L132" s="35" t="s">
        <v>335</v>
      </c>
      <c r="M132" s="34" t="s">
        <v>336</v>
      </c>
    </row>
    <row r="133" spans="7:13" ht="15" x14ac:dyDescent="0.25">
      <c r="G133" s="7" t="s">
        <v>1055</v>
      </c>
      <c r="L133" s="35" t="s">
        <v>337</v>
      </c>
      <c r="M133" s="34" t="s">
        <v>338</v>
      </c>
    </row>
    <row r="134" spans="7:13" ht="15" x14ac:dyDescent="0.25">
      <c r="G134" s="7" t="s">
        <v>1056</v>
      </c>
      <c r="L134" s="35" t="s">
        <v>339</v>
      </c>
      <c r="M134" s="34" t="s">
        <v>340</v>
      </c>
    </row>
    <row r="135" spans="7:13" ht="15" x14ac:dyDescent="0.25">
      <c r="G135" s="7" t="s">
        <v>1057</v>
      </c>
      <c r="L135" s="35" t="s">
        <v>341</v>
      </c>
      <c r="M135" s="34" t="s">
        <v>342</v>
      </c>
    </row>
    <row r="136" spans="7:13" ht="15" x14ac:dyDescent="0.25">
      <c r="G136" s="7" t="s">
        <v>1058</v>
      </c>
      <c r="L136" s="35" t="s">
        <v>343</v>
      </c>
      <c r="M136" s="34" t="s">
        <v>344</v>
      </c>
    </row>
    <row r="137" spans="7:13" ht="15" x14ac:dyDescent="0.25">
      <c r="G137" s="7" t="s">
        <v>1059</v>
      </c>
      <c r="L137" s="35" t="s">
        <v>345</v>
      </c>
      <c r="M137" s="34" t="s">
        <v>346</v>
      </c>
    </row>
    <row r="138" spans="7:13" ht="15" x14ac:dyDescent="0.25">
      <c r="G138" s="7" t="s">
        <v>1060</v>
      </c>
      <c r="L138" s="35" t="s">
        <v>347</v>
      </c>
      <c r="M138" s="34" t="s">
        <v>348</v>
      </c>
    </row>
    <row r="139" spans="7:13" ht="15" x14ac:dyDescent="0.25">
      <c r="G139" s="7" t="s">
        <v>1061</v>
      </c>
      <c r="L139" s="35" t="s">
        <v>349</v>
      </c>
      <c r="M139" s="34" t="s">
        <v>350</v>
      </c>
    </row>
    <row r="140" spans="7:13" ht="15" x14ac:dyDescent="0.25">
      <c r="G140" s="7" t="s">
        <v>1062</v>
      </c>
      <c r="L140" s="35" t="s">
        <v>351</v>
      </c>
      <c r="M140" s="34" t="s">
        <v>352</v>
      </c>
    </row>
    <row r="141" spans="7:13" ht="15" x14ac:dyDescent="0.25">
      <c r="G141" s="7" t="s">
        <v>1063</v>
      </c>
      <c r="L141" s="35" t="s">
        <v>353</v>
      </c>
      <c r="M141" s="34" t="s">
        <v>354</v>
      </c>
    </row>
    <row r="142" spans="7:13" ht="15" x14ac:dyDescent="0.25">
      <c r="G142" s="7" t="s">
        <v>1064</v>
      </c>
      <c r="L142" s="35" t="s">
        <v>355</v>
      </c>
      <c r="M142" s="34" t="s">
        <v>356</v>
      </c>
    </row>
    <row r="143" spans="7:13" ht="15" x14ac:dyDescent="0.25">
      <c r="G143" s="7" t="s">
        <v>1065</v>
      </c>
      <c r="L143" s="35" t="s">
        <v>357</v>
      </c>
      <c r="M143" s="34" t="s">
        <v>358</v>
      </c>
    </row>
    <row r="144" spans="7:13" ht="15" x14ac:dyDescent="0.25">
      <c r="G144" s="7" t="s">
        <v>1066</v>
      </c>
      <c r="L144" s="35" t="s">
        <v>359</v>
      </c>
      <c r="M144" s="34" t="s">
        <v>360</v>
      </c>
    </row>
    <row r="145" spans="7:13" ht="15" x14ac:dyDescent="0.25">
      <c r="G145" s="7" t="s">
        <v>1067</v>
      </c>
      <c r="L145" s="35" t="s">
        <v>361</v>
      </c>
      <c r="M145" s="34" t="s">
        <v>362</v>
      </c>
    </row>
    <row r="146" spans="7:13" ht="15" x14ac:dyDescent="0.25">
      <c r="G146" s="7" t="s">
        <v>1068</v>
      </c>
      <c r="L146" s="35" t="s">
        <v>363</v>
      </c>
      <c r="M146" s="34" t="s">
        <v>364</v>
      </c>
    </row>
    <row r="147" spans="7:13" ht="15" x14ac:dyDescent="0.25">
      <c r="G147" s="7" t="s">
        <v>1069</v>
      </c>
      <c r="L147" s="35" t="s">
        <v>365</v>
      </c>
      <c r="M147" s="34" t="s">
        <v>366</v>
      </c>
    </row>
    <row r="148" spans="7:13" ht="15" x14ac:dyDescent="0.25">
      <c r="G148" s="7" t="s">
        <v>1070</v>
      </c>
      <c r="L148" s="35" t="s">
        <v>367</v>
      </c>
      <c r="M148" s="34" t="s">
        <v>368</v>
      </c>
    </row>
    <row r="149" spans="7:13" ht="15" x14ac:dyDescent="0.25">
      <c r="G149" s="7" t="s">
        <v>1071</v>
      </c>
      <c r="L149" s="35" t="s">
        <v>369</v>
      </c>
      <c r="M149" s="34" t="s">
        <v>370</v>
      </c>
    </row>
    <row r="150" spans="7:13" ht="15" x14ac:dyDescent="0.25">
      <c r="G150" s="7" t="s">
        <v>1072</v>
      </c>
      <c r="L150" s="35" t="s">
        <v>371</v>
      </c>
      <c r="M150" s="34" t="s">
        <v>372</v>
      </c>
    </row>
    <row r="151" spans="7:13" ht="15" x14ac:dyDescent="0.25">
      <c r="G151" s="7" t="s">
        <v>1073</v>
      </c>
      <c r="L151" s="35" t="s">
        <v>373</v>
      </c>
      <c r="M151" s="34" t="s">
        <v>374</v>
      </c>
    </row>
    <row r="152" spans="7:13" ht="15" x14ac:dyDescent="0.25">
      <c r="G152" s="7" t="s">
        <v>1074</v>
      </c>
      <c r="L152" s="35" t="s">
        <v>375</v>
      </c>
      <c r="M152" s="34" t="s">
        <v>376</v>
      </c>
    </row>
    <row r="153" spans="7:13" ht="15" x14ac:dyDescent="0.25">
      <c r="G153" s="7" t="s">
        <v>1075</v>
      </c>
      <c r="L153" s="35" t="s">
        <v>377</v>
      </c>
      <c r="M153" s="34" t="s">
        <v>378</v>
      </c>
    </row>
    <row r="154" spans="7:13" ht="15" x14ac:dyDescent="0.25">
      <c r="G154" s="7" t="s">
        <v>1076</v>
      </c>
      <c r="L154" s="35" t="s">
        <v>379</v>
      </c>
      <c r="M154" s="34" t="s">
        <v>380</v>
      </c>
    </row>
    <row r="155" spans="7:13" ht="15" x14ac:dyDescent="0.25">
      <c r="G155" s="7" t="s">
        <v>1077</v>
      </c>
      <c r="L155" s="35" t="s">
        <v>381</v>
      </c>
      <c r="M155" s="34" t="s">
        <v>382</v>
      </c>
    </row>
    <row r="156" spans="7:13" ht="15" x14ac:dyDescent="0.25">
      <c r="G156" s="7" t="s">
        <v>1078</v>
      </c>
      <c r="L156" s="35" t="s">
        <v>383</v>
      </c>
      <c r="M156" s="34" t="s">
        <v>384</v>
      </c>
    </row>
    <row r="157" spans="7:13" ht="15" x14ac:dyDescent="0.25">
      <c r="G157" s="7" t="s">
        <v>1079</v>
      </c>
      <c r="L157" s="35" t="s">
        <v>385</v>
      </c>
      <c r="M157" s="34" t="s">
        <v>386</v>
      </c>
    </row>
    <row r="158" spans="7:13" ht="15" x14ac:dyDescent="0.25">
      <c r="G158" s="7" t="s">
        <v>1080</v>
      </c>
      <c r="L158" s="35" t="s">
        <v>387</v>
      </c>
      <c r="M158" s="34" t="s">
        <v>388</v>
      </c>
    </row>
    <row r="159" spans="7:13" ht="15" x14ac:dyDescent="0.25">
      <c r="G159" s="7" t="s">
        <v>1081</v>
      </c>
      <c r="L159" s="35" t="s">
        <v>389</v>
      </c>
      <c r="M159" s="34" t="s">
        <v>390</v>
      </c>
    </row>
    <row r="160" spans="7:13" ht="15" x14ac:dyDescent="0.25">
      <c r="G160" s="7" t="s">
        <v>1082</v>
      </c>
      <c r="L160" s="35" t="s">
        <v>391</v>
      </c>
      <c r="M160" s="34" t="s">
        <v>392</v>
      </c>
    </row>
    <row r="161" spans="7:13" ht="15" x14ac:dyDescent="0.25">
      <c r="G161" s="7" t="s">
        <v>1083</v>
      </c>
      <c r="L161" s="35" t="s">
        <v>393</v>
      </c>
      <c r="M161" s="34" t="s">
        <v>394</v>
      </c>
    </row>
    <row r="162" spans="7:13" ht="15" x14ac:dyDescent="0.25">
      <c r="G162" s="7" t="s">
        <v>1084</v>
      </c>
      <c r="L162" s="35" t="s">
        <v>395</v>
      </c>
      <c r="M162" s="34" t="s">
        <v>396</v>
      </c>
    </row>
    <row r="163" spans="7:13" ht="15" x14ac:dyDescent="0.25">
      <c r="G163" s="7" t="s">
        <v>1085</v>
      </c>
      <c r="L163" s="35" t="s">
        <v>397</v>
      </c>
      <c r="M163" s="34" t="s">
        <v>398</v>
      </c>
    </row>
    <row r="164" spans="7:13" ht="15" x14ac:dyDescent="0.25">
      <c r="G164" s="7" t="s">
        <v>1086</v>
      </c>
      <c r="L164" s="35" t="s">
        <v>399</v>
      </c>
      <c r="M164" s="34" t="s">
        <v>400</v>
      </c>
    </row>
    <row r="165" spans="7:13" ht="15" x14ac:dyDescent="0.25">
      <c r="G165" s="7" t="s">
        <v>1087</v>
      </c>
      <c r="L165" s="35" t="s">
        <v>401</v>
      </c>
      <c r="M165" s="34" t="s">
        <v>402</v>
      </c>
    </row>
    <row r="166" spans="7:13" ht="15" x14ac:dyDescent="0.25">
      <c r="G166" s="7" t="s">
        <v>1088</v>
      </c>
      <c r="L166" s="35" t="s">
        <v>403</v>
      </c>
      <c r="M166" s="34" t="s">
        <v>404</v>
      </c>
    </row>
    <row r="167" spans="7:13" ht="15" x14ac:dyDescent="0.25">
      <c r="G167" s="7" t="s">
        <v>1089</v>
      </c>
      <c r="L167" s="35" t="s">
        <v>405</v>
      </c>
      <c r="M167" s="34" t="s">
        <v>406</v>
      </c>
    </row>
    <row r="168" spans="7:13" ht="15" x14ac:dyDescent="0.25">
      <c r="G168" s="7" t="s">
        <v>1090</v>
      </c>
      <c r="L168" s="35" t="s">
        <v>407</v>
      </c>
      <c r="M168" s="34" t="s">
        <v>408</v>
      </c>
    </row>
    <row r="169" spans="7:13" ht="15" x14ac:dyDescent="0.25">
      <c r="G169" s="7" t="s">
        <v>1091</v>
      </c>
      <c r="L169" s="35" t="s">
        <v>409</v>
      </c>
      <c r="M169" s="34" t="s">
        <v>410</v>
      </c>
    </row>
    <row r="170" spans="7:13" ht="15" x14ac:dyDescent="0.25">
      <c r="G170" s="7" t="s">
        <v>1092</v>
      </c>
      <c r="L170" s="35" t="s">
        <v>411</v>
      </c>
      <c r="M170" s="34" t="s">
        <v>412</v>
      </c>
    </row>
    <row r="171" spans="7:13" ht="15" x14ac:dyDescent="0.25">
      <c r="G171" s="7" t="s">
        <v>1093</v>
      </c>
      <c r="L171" s="35" t="s">
        <v>413</v>
      </c>
      <c r="M171" s="34" t="s">
        <v>414</v>
      </c>
    </row>
    <row r="172" spans="7:13" ht="15" x14ac:dyDescent="0.25">
      <c r="G172" s="7" t="s">
        <v>1094</v>
      </c>
      <c r="L172" s="35" t="s">
        <v>415</v>
      </c>
      <c r="M172" s="34" t="s">
        <v>416</v>
      </c>
    </row>
    <row r="173" spans="7:13" ht="15" x14ac:dyDescent="0.25">
      <c r="G173" s="7" t="s">
        <v>1095</v>
      </c>
      <c r="L173" s="35" t="s">
        <v>417</v>
      </c>
      <c r="M173" s="34" t="s">
        <v>418</v>
      </c>
    </row>
    <row r="174" spans="7:13" ht="15" x14ac:dyDescent="0.25">
      <c r="G174" s="7" t="s">
        <v>1096</v>
      </c>
      <c r="L174" s="35" t="s">
        <v>419</v>
      </c>
      <c r="M174" s="34" t="s">
        <v>420</v>
      </c>
    </row>
    <row r="175" spans="7:13" ht="15" x14ac:dyDescent="0.25">
      <c r="G175" s="7" t="s">
        <v>1097</v>
      </c>
      <c r="L175" s="35" t="s">
        <v>421</v>
      </c>
      <c r="M175" s="34" t="s">
        <v>422</v>
      </c>
    </row>
    <row r="176" spans="7:13" ht="15" x14ac:dyDescent="0.25">
      <c r="G176" s="7" t="s">
        <v>1098</v>
      </c>
      <c r="L176" s="35" t="s">
        <v>423</v>
      </c>
      <c r="M176" s="34" t="s">
        <v>424</v>
      </c>
    </row>
    <row r="177" spans="7:13" ht="15" x14ac:dyDescent="0.25">
      <c r="G177" s="7" t="s">
        <v>1099</v>
      </c>
      <c r="L177" s="35" t="s">
        <v>425</v>
      </c>
      <c r="M177" s="34" t="s">
        <v>426</v>
      </c>
    </row>
    <row r="178" spans="7:13" ht="15" x14ac:dyDescent="0.25">
      <c r="G178" s="7" t="s">
        <v>1100</v>
      </c>
      <c r="L178" s="35" t="s">
        <v>427</v>
      </c>
      <c r="M178" s="34" t="s">
        <v>428</v>
      </c>
    </row>
    <row r="179" spans="7:13" ht="15" x14ac:dyDescent="0.25">
      <c r="G179" s="7" t="s">
        <v>1101</v>
      </c>
      <c r="L179" s="35" t="s">
        <v>429</v>
      </c>
      <c r="M179" s="34" t="s">
        <v>430</v>
      </c>
    </row>
    <row r="180" spans="7:13" ht="15" x14ac:dyDescent="0.25">
      <c r="G180" s="7" t="s">
        <v>1102</v>
      </c>
      <c r="L180" s="35" t="s">
        <v>431</v>
      </c>
      <c r="M180" s="34" t="s">
        <v>432</v>
      </c>
    </row>
    <row r="181" spans="7:13" ht="15" x14ac:dyDescent="0.25">
      <c r="G181" s="7" t="s">
        <v>1103</v>
      </c>
      <c r="L181" s="35" t="s">
        <v>433</v>
      </c>
      <c r="M181" s="34" t="s">
        <v>434</v>
      </c>
    </row>
    <row r="182" spans="7:13" ht="15" x14ac:dyDescent="0.25">
      <c r="G182" s="7" t="s">
        <v>1104</v>
      </c>
      <c r="L182" s="35" t="s">
        <v>435</v>
      </c>
      <c r="M182" s="34" t="s">
        <v>436</v>
      </c>
    </row>
    <row r="183" spans="7:13" ht="15" x14ac:dyDescent="0.25">
      <c r="G183" s="7" t="s">
        <v>1105</v>
      </c>
      <c r="L183" s="35" t="s">
        <v>437</v>
      </c>
      <c r="M183" s="34" t="s">
        <v>438</v>
      </c>
    </row>
    <row r="184" spans="7:13" ht="15" x14ac:dyDescent="0.25">
      <c r="G184" s="7" t="s">
        <v>1106</v>
      </c>
      <c r="L184" s="35" t="s">
        <v>439</v>
      </c>
      <c r="M184" s="34" t="s">
        <v>440</v>
      </c>
    </row>
    <row r="185" spans="7:13" ht="15" x14ac:dyDescent="0.25">
      <c r="G185" s="7" t="s">
        <v>1107</v>
      </c>
      <c r="L185" s="35" t="s">
        <v>441</v>
      </c>
      <c r="M185" s="34" t="s">
        <v>442</v>
      </c>
    </row>
    <row r="186" spans="7:13" ht="15" x14ac:dyDescent="0.25">
      <c r="G186" s="7" t="s">
        <v>1108</v>
      </c>
      <c r="L186" s="35" t="s">
        <v>443</v>
      </c>
      <c r="M186" s="34" t="s">
        <v>444</v>
      </c>
    </row>
    <row r="187" spans="7:13" ht="15" x14ac:dyDescent="0.25">
      <c r="G187" s="7" t="s">
        <v>1109</v>
      </c>
      <c r="L187" s="35" t="s">
        <v>445</v>
      </c>
      <c r="M187" s="34" t="s">
        <v>446</v>
      </c>
    </row>
    <row r="188" spans="7:13" ht="15" x14ac:dyDescent="0.25">
      <c r="G188" s="7" t="s">
        <v>1110</v>
      </c>
      <c r="L188" s="35" t="s">
        <v>447</v>
      </c>
      <c r="M188" s="34" t="s">
        <v>448</v>
      </c>
    </row>
    <row r="189" spans="7:13" ht="15" x14ac:dyDescent="0.25">
      <c r="G189" s="7" t="s">
        <v>1111</v>
      </c>
      <c r="L189" s="35" t="s">
        <v>449</v>
      </c>
      <c r="M189" s="34" t="s">
        <v>450</v>
      </c>
    </row>
    <row r="190" spans="7:13" ht="15" x14ac:dyDescent="0.25">
      <c r="G190" s="7" t="s">
        <v>1112</v>
      </c>
      <c r="L190" s="35" t="s">
        <v>451</v>
      </c>
      <c r="M190" s="34" t="s">
        <v>452</v>
      </c>
    </row>
    <row r="191" spans="7:13" ht="15" x14ac:dyDescent="0.25">
      <c r="G191" s="7" t="s">
        <v>1113</v>
      </c>
      <c r="L191" s="35" t="s">
        <v>453</v>
      </c>
      <c r="M191" s="34" t="s">
        <v>454</v>
      </c>
    </row>
    <row r="192" spans="7:13" ht="15" x14ac:dyDescent="0.25">
      <c r="G192" s="7" t="s">
        <v>1114</v>
      </c>
      <c r="L192" s="35" t="s">
        <v>455</v>
      </c>
      <c r="M192" s="34" t="s">
        <v>456</v>
      </c>
    </row>
    <row r="193" spans="7:13" ht="15" x14ac:dyDescent="0.25">
      <c r="G193" s="7" t="s">
        <v>1115</v>
      </c>
      <c r="L193" s="35" t="s">
        <v>457</v>
      </c>
      <c r="M193" s="34" t="s">
        <v>458</v>
      </c>
    </row>
    <row r="194" spans="7:13" ht="15" x14ac:dyDescent="0.25">
      <c r="G194" s="7" t="s">
        <v>1116</v>
      </c>
      <c r="L194" s="35" t="s">
        <v>459</v>
      </c>
      <c r="M194" s="34" t="s">
        <v>460</v>
      </c>
    </row>
    <row r="195" spans="7:13" ht="15" x14ac:dyDescent="0.25">
      <c r="G195" s="7" t="s">
        <v>1117</v>
      </c>
      <c r="L195" s="35" t="s">
        <v>461</v>
      </c>
      <c r="M195" s="34" t="s">
        <v>462</v>
      </c>
    </row>
    <row r="196" spans="7:13" ht="15" x14ac:dyDescent="0.25">
      <c r="G196" s="7" t="s">
        <v>1118</v>
      </c>
      <c r="L196" s="35" t="s">
        <v>463</v>
      </c>
      <c r="M196" s="34" t="s">
        <v>464</v>
      </c>
    </row>
    <row r="197" spans="7:13" ht="15" x14ac:dyDescent="0.25">
      <c r="G197" s="7" t="s">
        <v>1119</v>
      </c>
      <c r="L197" s="35" t="s">
        <v>465</v>
      </c>
      <c r="M197" s="34" t="s">
        <v>466</v>
      </c>
    </row>
    <row r="198" spans="7:13" ht="15" x14ac:dyDescent="0.25">
      <c r="G198" s="7" t="s">
        <v>1120</v>
      </c>
      <c r="L198" s="35" t="s">
        <v>467</v>
      </c>
      <c r="M198" s="34" t="s">
        <v>468</v>
      </c>
    </row>
    <row r="199" spans="7:13" ht="15" x14ac:dyDescent="0.25">
      <c r="G199" s="7" t="s">
        <v>1121</v>
      </c>
      <c r="L199" s="35" t="s">
        <v>469</v>
      </c>
      <c r="M199" s="34" t="s">
        <v>470</v>
      </c>
    </row>
    <row r="200" spans="7:13" ht="15" x14ac:dyDescent="0.25">
      <c r="G200" s="7" t="s">
        <v>1122</v>
      </c>
      <c r="L200" s="35" t="s">
        <v>471</v>
      </c>
      <c r="M200" s="34" t="s">
        <v>472</v>
      </c>
    </row>
    <row r="201" spans="7:13" ht="15" x14ac:dyDescent="0.25">
      <c r="G201" s="7" t="s">
        <v>1123</v>
      </c>
      <c r="L201" s="35" t="s">
        <v>473</v>
      </c>
      <c r="M201" s="34" t="s">
        <v>474</v>
      </c>
    </row>
    <row r="202" spans="7:13" ht="15" x14ac:dyDescent="0.25">
      <c r="G202" s="7" t="s">
        <v>1124</v>
      </c>
      <c r="L202" s="35" t="s">
        <v>475</v>
      </c>
      <c r="M202" s="34" t="s">
        <v>476</v>
      </c>
    </row>
    <row r="203" spans="7:13" ht="15" x14ac:dyDescent="0.25">
      <c r="G203" s="7" t="s">
        <v>1125</v>
      </c>
      <c r="L203" s="35" t="s">
        <v>477</v>
      </c>
      <c r="M203" s="34" t="s">
        <v>478</v>
      </c>
    </row>
    <row r="204" spans="7:13" ht="15" x14ac:dyDescent="0.25">
      <c r="G204" s="7" t="s">
        <v>1126</v>
      </c>
      <c r="L204" s="35" t="s">
        <v>479</v>
      </c>
      <c r="M204" s="34" t="s">
        <v>480</v>
      </c>
    </row>
    <row r="205" spans="7:13" ht="15" x14ac:dyDescent="0.25">
      <c r="G205" s="7" t="s">
        <v>1127</v>
      </c>
      <c r="L205" s="35" t="s">
        <v>481</v>
      </c>
      <c r="M205" s="34" t="s">
        <v>482</v>
      </c>
    </row>
    <row r="206" spans="7:13" ht="15" x14ac:dyDescent="0.25">
      <c r="G206" s="7" t="s">
        <v>1128</v>
      </c>
      <c r="L206" s="35" t="s">
        <v>483</v>
      </c>
      <c r="M206" s="34" t="s">
        <v>484</v>
      </c>
    </row>
    <row r="207" spans="7:13" ht="15" x14ac:dyDescent="0.25">
      <c r="G207" s="7" t="s">
        <v>1129</v>
      </c>
      <c r="L207" s="35" t="s">
        <v>485</v>
      </c>
      <c r="M207" s="34" t="s">
        <v>486</v>
      </c>
    </row>
    <row r="208" spans="7:13" ht="15" x14ac:dyDescent="0.25">
      <c r="G208" s="7" t="s">
        <v>1130</v>
      </c>
      <c r="L208" s="35" t="s">
        <v>487</v>
      </c>
      <c r="M208" s="34" t="s">
        <v>488</v>
      </c>
    </row>
    <row r="209" spans="7:13" ht="15" x14ac:dyDescent="0.25">
      <c r="G209" s="7" t="s">
        <v>1131</v>
      </c>
      <c r="L209" s="35" t="s">
        <v>489</v>
      </c>
      <c r="M209" s="34" t="s">
        <v>490</v>
      </c>
    </row>
    <row r="210" spans="7:13" ht="15" x14ac:dyDescent="0.25">
      <c r="G210" s="7" t="s">
        <v>1132</v>
      </c>
      <c r="L210" s="35" t="s">
        <v>491</v>
      </c>
      <c r="M210" s="34" t="s">
        <v>492</v>
      </c>
    </row>
    <row r="211" spans="7:13" ht="15" x14ac:dyDescent="0.25">
      <c r="G211" s="7" t="s">
        <v>1133</v>
      </c>
      <c r="L211" s="35" t="s">
        <v>493</v>
      </c>
      <c r="M211" s="34" t="s">
        <v>494</v>
      </c>
    </row>
    <row r="212" spans="7:13" ht="15" x14ac:dyDescent="0.25">
      <c r="G212" s="7" t="s">
        <v>1134</v>
      </c>
      <c r="L212" s="35" t="s">
        <v>495</v>
      </c>
      <c r="M212" s="34" t="s">
        <v>496</v>
      </c>
    </row>
    <row r="213" spans="7:13" ht="15" x14ac:dyDescent="0.25">
      <c r="G213" s="7" t="s">
        <v>1135</v>
      </c>
      <c r="L213" s="35" t="s">
        <v>497</v>
      </c>
      <c r="M213" s="34" t="s">
        <v>498</v>
      </c>
    </row>
    <row r="214" spans="7:13" ht="15" x14ac:dyDescent="0.25">
      <c r="G214" s="7" t="s">
        <v>1136</v>
      </c>
      <c r="L214" s="35" t="s">
        <v>499</v>
      </c>
      <c r="M214" s="34" t="s">
        <v>500</v>
      </c>
    </row>
    <row r="215" spans="7:13" ht="15" x14ac:dyDescent="0.25">
      <c r="G215" s="7" t="s">
        <v>1137</v>
      </c>
      <c r="L215" s="35" t="s">
        <v>501</v>
      </c>
      <c r="M215" s="34" t="s">
        <v>502</v>
      </c>
    </row>
    <row r="216" spans="7:13" ht="15" x14ac:dyDescent="0.25">
      <c r="G216" s="7" t="s">
        <v>1138</v>
      </c>
      <c r="L216" s="35" t="s">
        <v>503</v>
      </c>
      <c r="M216" s="34" t="s">
        <v>504</v>
      </c>
    </row>
    <row r="217" spans="7:13" ht="15" x14ac:dyDescent="0.25">
      <c r="G217" s="7" t="s">
        <v>1139</v>
      </c>
      <c r="L217" s="35" t="s">
        <v>505</v>
      </c>
      <c r="M217" s="34" t="s">
        <v>506</v>
      </c>
    </row>
    <row r="218" spans="7:13" ht="15" x14ac:dyDescent="0.25">
      <c r="G218" s="7" t="s">
        <v>1140</v>
      </c>
      <c r="L218" s="35" t="s">
        <v>507</v>
      </c>
      <c r="M218" s="34" t="s">
        <v>508</v>
      </c>
    </row>
    <row r="219" spans="7:13" ht="15" x14ac:dyDescent="0.25">
      <c r="G219" s="7" t="s">
        <v>1141</v>
      </c>
      <c r="L219" s="35" t="s">
        <v>509</v>
      </c>
      <c r="M219" s="34" t="s">
        <v>510</v>
      </c>
    </row>
    <row r="220" spans="7:13" ht="15" x14ac:dyDescent="0.25">
      <c r="G220" s="7" t="s">
        <v>1142</v>
      </c>
      <c r="L220" s="35" t="s">
        <v>511</v>
      </c>
      <c r="M220" s="34" t="s">
        <v>512</v>
      </c>
    </row>
    <row r="221" spans="7:13" ht="15" x14ac:dyDescent="0.25">
      <c r="G221" s="7" t="s">
        <v>1143</v>
      </c>
      <c r="L221" s="35" t="s">
        <v>513</v>
      </c>
      <c r="M221" s="34" t="s">
        <v>185</v>
      </c>
    </row>
    <row r="222" spans="7:13" ht="15" x14ac:dyDescent="0.25">
      <c r="G222" s="7" t="s">
        <v>1144</v>
      </c>
      <c r="L222" s="35" t="s">
        <v>514</v>
      </c>
      <c r="M222" s="34" t="s">
        <v>515</v>
      </c>
    </row>
    <row r="223" spans="7:13" ht="15" x14ac:dyDescent="0.25">
      <c r="G223" s="7" t="s">
        <v>1145</v>
      </c>
      <c r="L223" s="35" t="s">
        <v>516</v>
      </c>
      <c r="M223" s="34" t="s">
        <v>517</v>
      </c>
    </row>
    <row r="224" spans="7:13" ht="15" x14ac:dyDescent="0.25">
      <c r="G224" s="7" t="s">
        <v>1146</v>
      </c>
      <c r="L224" s="35" t="s">
        <v>518</v>
      </c>
      <c r="M224" s="34" t="s">
        <v>519</v>
      </c>
    </row>
    <row r="225" spans="7:13" ht="15" x14ac:dyDescent="0.25">
      <c r="G225" s="7" t="s">
        <v>1147</v>
      </c>
      <c r="L225" s="35" t="s">
        <v>0</v>
      </c>
      <c r="M225" s="34" t="s">
        <v>520</v>
      </c>
    </row>
    <row r="226" spans="7:13" ht="15" x14ac:dyDescent="0.25">
      <c r="G226" s="7" t="s">
        <v>1148</v>
      </c>
      <c r="L226" s="35" t="s">
        <v>521</v>
      </c>
      <c r="M226" s="34" t="s">
        <v>522</v>
      </c>
    </row>
    <row r="227" spans="7:13" ht="15" x14ac:dyDescent="0.25">
      <c r="G227" s="7" t="s">
        <v>1149</v>
      </c>
      <c r="L227" s="35" t="s">
        <v>523</v>
      </c>
      <c r="M227" s="34" t="s">
        <v>524</v>
      </c>
    </row>
    <row r="228" spans="7:13" ht="15" x14ac:dyDescent="0.25">
      <c r="G228" s="7" t="s">
        <v>1150</v>
      </c>
      <c r="L228" s="35" t="s">
        <v>525</v>
      </c>
      <c r="M228" s="34" t="s">
        <v>526</v>
      </c>
    </row>
    <row r="229" spans="7:13" ht="15" x14ac:dyDescent="0.25">
      <c r="G229" s="7" t="s">
        <v>1151</v>
      </c>
      <c r="L229" s="35" t="s">
        <v>527</v>
      </c>
      <c r="M229" s="34" t="s">
        <v>528</v>
      </c>
    </row>
    <row r="230" spans="7:13" ht="15" x14ac:dyDescent="0.25">
      <c r="G230" s="7" t="s">
        <v>1152</v>
      </c>
      <c r="L230" s="35" t="s">
        <v>529</v>
      </c>
      <c r="M230" s="34" t="s">
        <v>530</v>
      </c>
    </row>
    <row r="231" spans="7:13" ht="15" x14ac:dyDescent="0.25">
      <c r="G231" s="7" t="s">
        <v>1153</v>
      </c>
      <c r="L231" s="35" t="s">
        <v>531</v>
      </c>
      <c r="M231" s="34" t="s">
        <v>532</v>
      </c>
    </row>
    <row r="232" spans="7:13" ht="15" x14ac:dyDescent="0.25">
      <c r="G232" s="7" t="s">
        <v>1154</v>
      </c>
      <c r="L232" s="35" t="s">
        <v>533</v>
      </c>
      <c r="M232" s="34" t="s">
        <v>534</v>
      </c>
    </row>
    <row r="233" spans="7:13" ht="15" x14ac:dyDescent="0.25">
      <c r="G233" s="7" t="s">
        <v>1155</v>
      </c>
      <c r="L233" s="35" t="s">
        <v>535</v>
      </c>
      <c r="M233" s="34" t="s">
        <v>536</v>
      </c>
    </row>
    <row r="234" spans="7:13" ht="15" x14ac:dyDescent="0.25">
      <c r="G234" s="7" t="s">
        <v>1156</v>
      </c>
      <c r="L234" s="35" t="s">
        <v>537</v>
      </c>
      <c r="M234" s="34" t="s">
        <v>538</v>
      </c>
    </row>
    <row r="235" spans="7:13" ht="15" x14ac:dyDescent="0.25">
      <c r="G235" s="7" t="s">
        <v>1157</v>
      </c>
      <c r="L235" s="35" t="s">
        <v>539</v>
      </c>
      <c r="M235" s="34" t="s">
        <v>540</v>
      </c>
    </row>
    <row r="236" spans="7:13" ht="15" x14ac:dyDescent="0.25">
      <c r="G236" s="7" t="s">
        <v>1158</v>
      </c>
      <c r="L236" s="35" t="s">
        <v>541</v>
      </c>
      <c r="M236" s="34" t="s">
        <v>542</v>
      </c>
    </row>
    <row r="237" spans="7:13" ht="15" x14ac:dyDescent="0.25">
      <c r="G237" s="7" t="s">
        <v>1159</v>
      </c>
      <c r="L237" s="35" t="s">
        <v>543</v>
      </c>
      <c r="M237" s="34" t="s">
        <v>544</v>
      </c>
    </row>
    <row r="238" spans="7:13" ht="15" x14ac:dyDescent="0.25">
      <c r="G238" s="7" t="s">
        <v>1160</v>
      </c>
      <c r="L238" s="35" t="s">
        <v>545</v>
      </c>
      <c r="M238" s="34" t="s">
        <v>546</v>
      </c>
    </row>
    <row r="239" spans="7:13" ht="15" x14ac:dyDescent="0.25">
      <c r="G239" s="7" t="s">
        <v>1161</v>
      </c>
      <c r="L239" s="35" t="s">
        <v>547</v>
      </c>
      <c r="M239" s="34" t="s">
        <v>548</v>
      </c>
    </row>
    <row r="240" spans="7:13" ht="15" x14ac:dyDescent="0.25">
      <c r="G240" s="7" t="s">
        <v>1162</v>
      </c>
      <c r="L240" s="35" t="s">
        <v>549</v>
      </c>
      <c r="M240" s="34" t="s">
        <v>550</v>
      </c>
    </row>
    <row r="241" spans="7:13" ht="15" x14ac:dyDescent="0.25">
      <c r="G241" s="7" t="s">
        <v>1163</v>
      </c>
      <c r="L241" s="35" t="s">
        <v>551</v>
      </c>
      <c r="M241" s="34" t="s">
        <v>552</v>
      </c>
    </row>
    <row r="242" spans="7:13" ht="15" x14ac:dyDescent="0.25">
      <c r="G242" s="7" t="s">
        <v>1164</v>
      </c>
      <c r="L242" s="35" t="s">
        <v>553</v>
      </c>
      <c r="M242" s="34" t="s">
        <v>554</v>
      </c>
    </row>
    <row r="243" spans="7:13" ht="15" x14ac:dyDescent="0.25">
      <c r="G243" s="7" t="s">
        <v>1165</v>
      </c>
      <c r="L243" s="35" t="s">
        <v>555</v>
      </c>
      <c r="M243" s="34" t="s">
        <v>556</v>
      </c>
    </row>
    <row r="244" spans="7:13" ht="15" x14ac:dyDescent="0.25">
      <c r="G244" s="7" t="s">
        <v>1166</v>
      </c>
      <c r="L244" s="35" t="s">
        <v>557</v>
      </c>
      <c r="M244" s="34" t="s">
        <v>558</v>
      </c>
    </row>
    <row r="245" spans="7:13" ht="15" x14ac:dyDescent="0.25">
      <c r="G245" s="7" t="s">
        <v>1167</v>
      </c>
      <c r="L245" s="35" t="s">
        <v>559</v>
      </c>
      <c r="M245" s="34" t="s">
        <v>560</v>
      </c>
    </row>
    <row r="246" spans="7:13" ht="15" x14ac:dyDescent="0.25">
      <c r="G246" s="7" t="s">
        <v>1168</v>
      </c>
      <c r="L246" s="35" t="s">
        <v>561</v>
      </c>
      <c r="M246" s="34" t="s">
        <v>562</v>
      </c>
    </row>
    <row r="247" spans="7:13" ht="15" x14ac:dyDescent="0.25">
      <c r="G247" s="7" t="s">
        <v>1169</v>
      </c>
      <c r="L247" s="35" t="s">
        <v>563</v>
      </c>
      <c r="M247" s="34" t="s">
        <v>564</v>
      </c>
    </row>
    <row r="248" spans="7:13" ht="15" x14ac:dyDescent="0.25">
      <c r="G248" s="7" t="s">
        <v>1170</v>
      </c>
      <c r="L248" s="35" t="s">
        <v>565</v>
      </c>
      <c r="M248" s="34" t="s">
        <v>566</v>
      </c>
    </row>
    <row r="249" spans="7:13" ht="15" x14ac:dyDescent="0.25">
      <c r="G249" s="7" t="s">
        <v>1171</v>
      </c>
      <c r="L249" s="35" t="s">
        <v>567</v>
      </c>
      <c r="M249" s="34" t="s">
        <v>568</v>
      </c>
    </row>
    <row r="250" spans="7:13" ht="15" x14ac:dyDescent="0.25">
      <c r="G250" s="7" t="s">
        <v>1172</v>
      </c>
      <c r="L250" s="35" t="s">
        <v>569</v>
      </c>
      <c r="M250" s="34" t="s">
        <v>570</v>
      </c>
    </row>
    <row r="251" spans="7:13" ht="15" x14ac:dyDescent="0.25">
      <c r="G251" s="7" t="s">
        <v>1173</v>
      </c>
      <c r="L251" s="35" t="s">
        <v>571</v>
      </c>
      <c r="M251" s="34" t="s">
        <v>572</v>
      </c>
    </row>
    <row r="252" spans="7:13" ht="15" x14ac:dyDescent="0.25">
      <c r="G252" s="7" t="s">
        <v>1174</v>
      </c>
      <c r="L252" s="35" t="s">
        <v>573</v>
      </c>
      <c r="M252" s="34" t="s">
        <v>574</v>
      </c>
    </row>
    <row r="253" spans="7:13" ht="15" x14ac:dyDescent="0.25">
      <c r="G253" s="7" t="s">
        <v>1175</v>
      </c>
      <c r="L253" s="35" t="s">
        <v>575</v>
      </c>
      <c r="M253" s="34" t="s">
        <v>576</v>
      </c>
    </row>
    <row r="254" spans="7:13" ht="15" x14ac:dyDescent="0.25">
      <c r="G254" s="7" t="s">
        <v>1176</v>
      </c>
      <c r="L254" s="35" t="s">
        <v>577</v>
      </c>
      <c r="M254" s="34" t="s">
        <v>578</v>
      </c>
    </row>
    <row r="255" spans="7:13" ht="15" x14ac:dyDescent="0.25">
      <c r="G255" s="7" t="s">
        <v>1177</v>
      </c>
      <c r="L255" s="35" t="s">
        <v>579</v>
      </c>
      <c r="M255" s="34" t="s">
        <v>580</v>
      </c>
    </row>
    <row r="256" spans="7:13" ht="15" x14ac:dyDescent="0.25">
      <c r="G256" s="7" t="s">
        <v>1178</v>
      </c>
      <c r="L256" s="35" t="s">
        <v>581</v>
      </c>
      <c r="M256" s="34" t="s">
        <v>582</v>
      </c>
    </row>
    <row r="257" spans="7:13" ht="15" x14ac:dyDescent="0.25">
      <c r="G257" s="7" t="s">
        <v>1179</v>
      </c>
      <c r="L257" s="35" t="s">
        <v>583</v>
      </c>
      <c r="M257" s="34" t="s">
        <v>584</v>
      </c>
    </row>
    <row r="258" spans="7:13" ht="15" x14ac:dyDescent="0.25">
      <c r="G258" s="7" t="s">
        <v>1180</v>
      </c>
      <c r="L258" s="35" t="s">
        <v>585</v>
      </c>
      <c r="M258" s="34" t="s">
        <v>586</v>
      </c>
    </row>
    <row r="259" spans="7:13" ht="15" x14ac:dyDescent="0.25">
      <c r="G259" s="7" t="s">
        <v>1181</v>
      </c>
      <c r="L259" s="35" t="s">
        <v>587</v>
      </c>
      <c r="M259" s="34" t="s">
        <v>588</v>
      </c>
    </row>
    <row r="260" spans="7:13" ht="15" x14ac:dyDescent="0.25">
      <c r="G260" s="7" t="s">
        <v>1182</v>
      </c>
      <c r="L260" s="35" t="s">
        <v>589</v>
      </c>
      <c r="M260" s="34" t="s">
        <v>590</v>
      </c>
    </row>
    <row r="261" spans="7:13" ht="15" x14ac:dyDescent="0.25">
      <c r="G261" s="7" t="s">
        <v>1183</v>
      </c>
      <c r="L261" s="35" t="s">
        <v>591</v>
      </c>
      <c r="M261" s="34" t="s">
        <v>592</v>
      </c>
    </row>
    <row r="262" spans="7:13" ht="15" x14ac:dyDescent="0.25">
      <c r="G262" s="7" t="s">
        <v>1184</v>
      </c>
      <c r="L262" s="35" t="s">
        <v>593</v>
      </c>
      <c r="M262" s="34" t="s">
        <v>594</v>
      </c>
    </row>
    <row r="263" spans="7:13" ht="15" x14ac:dyDescent="0.25">
      <c r="G263" s="7" t="s">
        <v>1185</v>
      </c>
      <c r="L263" s="35" t="s">
        <v>595</v>
      </c>
      <c r="M263" s="34" t="s">
        <v>596</v>
      </c>
    </row>
    <row r="264" spans="7:13" ht="15" x14ac:dyDescent="0.25">
      <c r="G264" s="7" t="s">
        <v>1186</v>
      </c>
      <c r="L264" s="35" t="s">
        <v>597</v>
      </c>
      <c r="M264" s="34" t="s">
        <v>598</v>
      </c>
    </row>
    <row r="265" spans="7:13" ht="15" x14ac:dyDescent="0.25">
      <c r="G265" s="7" t="s">
        <v>1187</v>
      </c>
      <c r="L265" s="35" t="s">
        <v>599</v>
      </c>
      <c r="M265" s="34" t="s">
        <v>600</v>
      </c>
    </row>
    <row r="266" spans="7:13" ht="15" x14ac:dyDescent="0.25">
      <c r="G266" s="7" t="s">
        <v>1188</v>
      </c>
      <c r="L266" s="35" t="s">
        <v>601</v>
      </c>
      <c r="M266" s="34" t="s">
        <v>602</v>
      </c>
    </row>
    <row r="267" spans="7:13" ht="15" x14ac:dyDescent="0.25">
      <c r="G267" s="7" t="s">
        <v>1189</v>
      </c>
      <c r="L267" s="35" t="s">
        <v>603</v>
      </c>
      <c r="M267" s="34" t="s">
        <v>604</v>
      </c>
    </row>
    <row r="268" spans="7:13" ht="15" x14ac:dyDescent="0.25">
      <c r="G268" s="7" t="s">
        <v>1190</v>
      </c>
      <c r="L268" s="35" t="s">
        <v>605</v>
      </c>
      <c r="M268" s="34" t="s">
        <v>606</v>
      </c>
    </row>
    <row r="269" spans="7:13" ht="15" x14ac:dyDescent="0.25">
      <c r="G269" s="7" t="s">
        <v>1191</v>
      </c>
      <c r="L269" s="35" t="s">
        <v>607</v>
      </c>
      <c r="M269" s="34" t="s">
        <v>608</v>
      </c>
    </row>
    <row r="270" spans="7:13" ht="15" x14ac:dyDescent="0.25">
      <c r="G270" s="7" t="s">
        <v>1192</v>
      </c>
      <c r="L270" s="35" t="s">
        <v>609</v>
      </c>
      <c r="M270" s="34" t="s">
        <v>610</v>
      </c>
    </row>
    <row r="271" spans="7:13" ht="15" x14ac:dyDescent="0.25">
      <c r="G271" s="7" t="s">
        <v>1193</v>
      </c>
      <c r="L271" s="35" t="s">
        <v>611</v>
      </c>
      <c r="M271" s="34" t="s">
        <v>612</v>
      </c>
    </row>
    <row r="272" spans="7:13" ht="15" x14ac:dyDescent="0.25">
      <c r="G272" s="7" t="s">
        <v>1194</v>
      </c>
      <c r="L272" s="35" t="s">
        <v>613</v>
      </c>
      <c r="M272" s="34" t="s">
        <v>614</v>
      </c>
    </row>
    <row r="273" spans="7:13" ht="15" x14ac:dyDescent="0.25">
      <c r="G273" s="7" t="s">
        <v>1195</v>
      </c>
      <c r="L273" s="35" t="s">
        <v>615</v>
      </c>
      <c r="M273" s="34" t="s">
        <v>616</v>
      </c>
    </row>
    <row r="274" spans="7:13" ht="15" x14ac:dyDescent="0.25">
      <c r="G274" s="7" t="s">
        <v>1196</v>
      </c>
      <c r="L274" s="35" t="s">
        <v>617</v>
      </c>
      <c r="M274" s="34" t="s">
        <v>618</v>
      </c>
    </row>
    <row r="275" spans="7:13" ht="15" x14ac:dyDescent="0.25">
      <c r="G275" s="7" t="s">
        <v>1197</v>
      </c>
      <c r="L275" s="35" t="s">
        <v>619</v>
      </c>
      <c r="M275" s="34" t="s">
        <v>620</v>
      </c>
    </row>
    <row r="276" spans="7:13" ht="15" x14ac:dyDescent="0.25">
      <c r="G276" s="7" t="s">
        <v>1198</v>
      </c>
      <c r="L276" s="35" t="s">
        <v>621</v>
      </c>
      <c r="M276" s="34" t="s">
        <v>622</v>
      </c>
    </row>
    <row r="277" spans="7:13" ht="15" x14ac:dyDescent="0.25">
      <c r="G277" s="7" t="s">
        <v>1199</v>
      </c>
      <c r="L277" s="35" t="s">
        <v>623</v>
      </c>
      <c r="M277" s="34" t="s">
        <v>624</v>
      </c>
    </row>
    <row r="278" spans="7:13" ht="15" x14ac:dyDescent="0.25">
      <c r="G278" s="7" t="s">
        <v>1200</v>
      </c>
      <c r="L278" s="35" t="s">
        <v>625</v>
      </c>
      <c r="M278" s="34" t="s">
        <v>626</v>
      </c>
    </row>
    <row r="279" spans="7:13" ht="15" x14ac:dyDescent="0.25">
      <c r="G279" s="7" t="s">
        <v>1201</v>
      </c>
      <c r="L279" s="35" t="s">
        <v>627</v>
      </c>
      <c r="M279" s="34" t="s">
        <v>628</v>
      </c>
    </row>
    <row r="280" spans="7:13" ht="15" x14ac:dyDescent="0.25">
      <c r="G280" s="7" t="s">
        <v>1202</v>
      </c>
      <c r="L280" s="35" t="s">
        <v>629</v>
      </c>
      <c r="M280" s="34" t="s">
        <v>630</v>
      </c>
    </row>
    <row r="281" spans="7:13" ht="15" x14ac:dyDescent="0.25">
      <c r="G281" s="7" t="s">
        <v>1203</v>
      </c>
      <c r="L281" s="35" t="s">
        <v>631</v>
      </c>
      <c r="M281" s="34" t="s">
        <v>632</v>
      </c>
    </row>
    <row r="282" spans="7:13" ht="15" x14ac:dyDescent="0.25">
      <c r="G282" s="7" t="s">
        <v>1204</v>
      </c>
      <c r="L282" s="35" t="s">
        <v>633</v>
      </c>
      <c r="M282" s="34" t="s">
        <v>634</v>
      </c>
    </row>
    <row r="283" spans="7:13" ht="15" x14ac:dyDescent="0.25">
      <c r="G283" s="7" t="s">
        <v>1205</v>
      </c>
      <c r="L283" s="35" t="s">
        <v>635</v>
      </c>
      <c r="M283" s="34" t="s">
        <v>636</v>
      </c>
    </row>
    <row r="284" spans="7:13" ht="15" x14ac:dyDescent="0.25">
      <c r="G284" s="7" t="s">
        <v>1206</v>
      </c>
      <c r="L284" s="35" t="s">
        <v>637</v>
      </c>
      <c r="M284" s="34" t="s">
        <v>638</v>
      </c>
    </row>
    <row r="285" spans="7:13" ht="15" x14ac:dyDescent="0.25">
      <c r="G285" s="7" t="s">
        <v>1207</v>
      </c>
      <c r="L285" s="35" t="s">
        <v>639</v>
      </c>
      <c r="M285" s="34" t="s">
        <v>640</v>
      </c>
    </row>
    <row r="286" spans="7:13" ht="15" x14ac:dyDescent="0.25">
      <c r="G286" s="7" t="s">
        <v>1208</v>
      </c>
      <c r="L286" s="35" t="s">
        <v>641</v>
      </c>
      <c r="M286" s="34" t="s">
        <v>642</v>
      </c>
    </row>
    <row r="287" spans="7:13" ht="15" x14ac:dyDescent="0.25">
      <c r="G287" s="7" t="s">
        <v>1209</v>
      </c>
      <c r="L287" s="35" t="s">
        <v>643</v>
      </c>
      <c r="M287" s="34" t="s">
        <v>644</v>
      </c>
    </row>
    <row r="288" spans="7:13" ht="15" x14ac:dyDescent="0.25">
      <c r="G288" s="7" t="s">
        <v>1210</v>
      </c>
      <c r="L288" s="35" t="s">
        <v>645</v>
      </c>
      <c r="M288" s="34" t="s">
        <v>646</v>
      </c>
    </row>
    <row r="289" spans="7:13" ht="15" x14ac:dyDescent="0.25">
      <c r="G289" s="7" t="s">
        <v>1211</v>
      </c>
      <c r="L289" s="35" t="s">
        <v>647</v>
      </c>
      <c r="M289" s="34" t="s">
        <v>648</v>
      </c>
    </row>
    <row r="290" spans="7:13" ht="15" x14ac:dyDescent="0.25">
      <c r="G290" s="7" t="s">
        <v>1212</v>
      </c>
      <c r="L290" s="35" t="s">
        <v>649</v>
      </c>
      <c r="M290" s="34" t="s">
        <v>650</v>
      </c>
    </row>
    <row r="291" spans="7:13" ht="15" x14ac:dyDescent="0.25">
      <c r="G291" s="7" t="s">
        <v>1213</v>
      </c>
      <c r="L291" s="35" t="s">
        <v>651</v>
      </c>
      <c r="M291" s="34" t="s">
        <v>652</v>
      </c>
    </row>
    <row r="292" spans="7:13" ht="15" x14ac:dyDescent="0.25">
      <c r="G292" s="7" t="s">
        <v>1214</v>
      </c>
      <c r="L292" s="35" t="s">
        <v>653</v>
      </c>
      <c r="M292" s="34" t="s">
        <v>654</v>
      </c>
    </row>
    <row r="293" spans="7:13" ht="15" x14ac:dyDescent="0.25">
      <c r="G293" s="7" t="s">
        <v>1215</v>
      </c>
      <c r="L293" s="35" t="s">
        <v>655</v>
      </c>
      <c r="M293" s="34" t="s">
        <v>656</v>
      </c>
    </row>
    <row r="294" spans="7:13" ht="15" x14ac:dyDescent="0.25">
      <c r="G294" s="7" t="s">
        <v>1216</v>
      </c>
      <c r="L294" s="35" t="s">
        <v>657</v>
      </c>
      <c r="M294" s="34" t="s">
        <v>658</v>
      </c>
    </row>
    <row r="295" spans="7:13" ht="15" x14ac:dyDescent="0.25">
      <c r="G295" s="7" t="s">
        <v>1217</v>
      </c>
      <c r="L295" s="35" t="s">
        <v>659</v>
      </c>
      <c r="M295" s="34" t="s">
        <v>660</v>
      </c>
    </row>
    <row r="296" spans="7:13" ht="15" x14ac:dyDescent="0.25">
      <c r="G296" s="7" t="s">
        <v>1218</v>
      </c>
      <c r="L296" s="35" t="s">
        <v>661</v>
      </c>
      <c r="M296" s="34" t="s">
        <v>662</v>
      </c>
    </row>
    <row r="297" spans="7:13" ht="15" x14ac:dyDescent="0.25">
      <c r="G297" s="7" t="s">
        <v>1219</v>
      </c>
      <c r="L297" s="35" t="s">
        <v>663</v>
      </c>
      <c r="M297" s="34" t="s">
        <v>664</v>
      </c>
    </row>
    <row r="298" spans="7:13" ht="15" x14ac:dyDescent="0.25">
      <c r="G298" s="7" t="s">
        <v>1220</v>
      </c>
      <c r="L298" s="35" t="s">
        <v>665</v>
      </c>
      <c r="M298" s="34" t="s">
        <v>666</v>
      </c>
    </row>
    <row r="299" spans="7:13" ht="15" x14ac:dyDescent="0.25">
      <c r="G299" s="7" t="s">
        <v>1221</v>
      </c>
      <c r="L299" s="35" t="s">
        <v>667</v>
      </c>
      <c r="M299" s="34" t="s">
        <v>668</v>
      </c>
    </row>
    <row r="300" spans="7:13" ht="15" x14ac:dyDescent="0.25">
      <c r="G300" s="7" t="s">
        <v>1222</v>
      </c>
      <c r="L300" s="35" t="s">
        <v>669</v>
      </c>
      <c r="M300" s="34" t="s">
        <v>670</v>
      </c>
    </row>
    <row r="301" spans="7:13" ht="15" x14ac:dyDescent="0.25">
      <c r="G301" s="7" t="s">
        <v>1223</v>
      </c>
      <c r="L301" s="35" t="s">
        <v>671</v>
      </c>
      <c r="M301" s="34" t="s">
        <v>672</v>
      </c>
    </row>
    <row r="302" spans="7:13" ht="15" x14ac:dyDescent="0.25">
      <c r="G302" s="7" t="s">
        <v>1224</v>
      </c>
      <c r="L302" s="35" t="s">
        <v>673</v>
      </c>
      <c r="M302" s="34" t="s">
        <v>674</v>
      </c>
    </row>
    <row r="303" spans="7:13" ht="15" x14ac:dyDescent="0.25">
      <c r="G303" s="7" t="s">
        <v>1225</v>
      </c>
      <c r="L303" s="35" t="s">
        <v>675</v>
      </c>
      <c r="M303" s="34" t="s">
        <v>676</v>
      </c>
    </row>
    <row r="304" spans="7:13" ht="15" x14ac:dyDescent="0.25">
      <c r="G304" s="7" t="s">
        <v>1226</v>
      </c>
      <c r="L304" s="35" t="s">
        <v>677</v>
      </c>
      <c r="M304" s="34" t="s">
        <v>678</v>
      </c>
    </row>
    <row r="305" spans="7:13" ht="15" x14ac:dyDescent="0.25">
      <c r="G305" s="7" t="s">
        <v>1227</v>
      </c>
      <c r="L305" s="35" t="s">
        <v>679</v>
      </c>
      <c r="M305" s="34" t="s">
        <v>680</v>
      </c>
    </row>
    <row r="306" spans="7:13" ht="15" x14ac:dyDescent="0.25">
      <c r="G306" s="7" t="s">
        <v>1228</v>
      </c>
      <c r="L306" s="35" t="s">
        <v>681</v>
      </c>
      <c r="M306" s="34" t="s">
        <v>682</v>
      </c>
    </row>
    <row r="307" spans="7:13" ht="15" x14ac:dyDescent="0.25">
      <c r="G307" s="7" t="s">
        <v>1229</v>
      </c>
      <c r="L307" s="35" t="s">
        <v>683</v>
      </c>
      <c r="M307" s="34" t="s">
        <v>684</v>
      </c>
    </row>
    <row r="308" spans="7:13" ht="15" x14ac:dyDescent="0.25">
      <c r="G308" s="7" t="s">
        <v>1230</v>
      </c>
      <c r="L308" s="35" t="s">
        <v>685</v>
      </c>
      <c r="M308" s="34" t="s">
        <v>686</v>
      </c>
    </row>
    <row r="309" spans="7:13" ht="15" x14ac:dyDescent="0.25">
      <c r="G309" s="7" t="s">
        <v>1231</v>
      </c>
      <c r="L309" s="35" t="s">
        <v>687</v>
      </c>
      <c r="M309" s="34" t="s">
        <v>688</v>
      </c>
    </row>
    <row r="310" spans="7:13" ht="15" x14ac:dyDescent="0.25">
      <c r="G310" s="7" t="s">
        <v>1232</v>
      </c>
      <c r="L310" s="35" t="s">
        <v>689</v>
      </c>
      <c r="M310" s="34" t="s">
        <v>690</v>
      </c>
    </row>
    <row r="311" spans="7:13" ht="15" x14ac:dyDescent="0.25">
      <c r="G311" s="7" t="s">
        <v>1233</v>
      </c>
      <c r="L311" s="35" t="s">
        <v>691</v>
      </c>
      <c r="M311" s="34" t="s">
        <v>692</v>
      </c>
    </row>
    <row r="312" spans="7:13" ht="15" x14ac:dyDescent="0.25">
      <c r="G312" s="7" t="s">
        <v>1234</v>
      </c>
      <c r="L312" s="35" t="s">
        <v>693</v>
      </c>
      <c r="M312" s="34" t="s">
        <v>694</v>
      </c>
    </row>
    <row r="313" spans="7:13" ht="15" x14ac:dyDescent="0.25">
      <c r="G313" s="7" t="s">
        <v>1235</v>
      </c>
      <c r="L313" s="35" t="s">
        <v>695</v>
      </c>
      <c r="M313" s="34" t="s">
        <v>696</v>
      </c>
    </row>
    <row r="314" spans="7:13" ht="15" x14ac:dyDescent="0.25">
      <c r="G314" s="7" t="s">
        <v>1236</v>
      </c>
      <c r="L314" s="35" t="s">
        <v>697</v>
      </c>
      <c r="M314" s="34" t="s">
        <v>698</v>
      </c>
    </row>
    <row r="315" spans="7:13" ht="15" x14ac:dyDescent="0.25">
      <c r="G315" s="7" t="s">
        <v>1237</v>
      </c>
      <c r="L315" s="35" t="s">
        <v>699</v>
      </c>
      <c r="M315" s="34" t="s">
        <v>700</v>
      </c>
    </row>
    <row r="316" spans="7:13" ht="15" x14ac:dyDescent="0.25">
      <c r="G316" s="7" t="s">
        <v>1238</v>
      </c>
      <c r="L316" s="35" t="s">
        <v>701</v>
      </c>
      <c r="M316" s="34" t="s">
        <v>702</v>
      </c>
    </row>
    <row r="317" spans="7:13" ht="15" x14ac:dyDescent="0.25">
      <c r="G317" s="7" t="s">
        <v>1239</v>
      </c>
      <c r="L317" s="35" t="s">
        <v>703</v>
      </c>
      <c r="M317" s="34" t="s">
        <v>704</v>
      </c>
    </row>
    <row r="318" spans="7:13" ht="15" x14ac:dyDescent="0.25">
      <c r="G318" s="7" t="s">
        <v>1240</v>
      </c>
      <c r="L318" s="35" t="s">
        <v>705</v>
      </c>
      <c r="M318" s="34" t="s">
        <v>706</v>
      </c>
    </row>
    <row r="319" spans="7:13" ht="15" x14ac:dyDescent="0.25">
      <c r="G319" s="7" t="s">
        <v>1241</v>
      </c>
      <c r="L319" s="35" t="s">
        <v>707</v>
      </c>
      <c r="M319" s="34" t="s">
        <v>708</v>
      </c>
    </row>
    <row r="320" spans="7:13" ht="15" x14ac:dyDescent="0.25">
      <c r="G320" s="7" t="s">
        <v>1242</v>
      </c>
      <c r="L320" s="35" t="s">
        <v>709</v>
      </c>
      <c r="M320" s="34" t="s">
        <v>710</v>
      </c>
    </row>
    <row r="321" spans="7:13" ht="15" x14ac:dyDescent="0.25">
      <c r="G321" s="7" t="s">
        <v>1243</v>
      </c>
      <c r="L321" s="35" t="s">
        <v>711</v>
      </c>
      <c r="M321" s="34" t="s">
        <v>712</v>
      </c>
    </row>
    <row r="322" spans="7:13" ht="15" x14ac:dyDescent="0.25">
      <c r="G322" s="7" t="s">
        <v>1244</v>
      </c>
      <c r="L322" s="35" t="s">
        <v>713</v>
      </c>
      <c r="M322" s="34" t="s">
        <v>714</v>
      </c>
    </row>
    <row r="323" spans="7:13" ht="15" x14ac:dyDescent="0.25">
      <c r="G323" s="7" t="s">
        <v>1245</v>
      </c>
      <c r="L323" s="35" t="s">
        <v>715</v>
      </c>
      <c r="M323" s="34" t="s">
        <v>716</v>
      </c>
    </row>
    <row r="324" spans="7:13" ht="15" x14ac:dyDescent="0.25">
      <c r="G324" s="7" t="s">
        <v>1246</v>
      </c>
      <c r="L324" s="35" t="s">
        <v>717</v>
      </c>
      <c r="M324" s="34" t="s">
        <v>718</v>
      </c>
    </row>
    <row r="325" spans="7:13" ht="15" x14ac:dyDescent="0.25">
      <c r="G325" s="7" t="s">
        <v>1247</v>
      </c>
      <c r="L325" s="35" t="s">
        <v>719</v>
      </c>
      <c r="M325" s="34" t="s">
        <v>720</v>
      </c>
    </row>
    <row r="326" spans="7:13" ht="15" x14ac:dyDescent="0.25">
      <c r="G326" s="7" t="s">
        <v>1248</v>
      </c>
      <c r="L326" s="35" t="s">
        <v>721</v>
      </c>
      <c r="M326" s="34" t="s">
        <v>722</v>
      </c>
    </row>
    <row r="327" spans="7:13" ht="15" x14ac:dyDescent="0.25">
      <c r="G327" s="7" t="s">
        <v>1249</v>
      </c>
      <c r="L327" s="35" t="s">
        <v>723</v>
      </c>
      <c r="M327" s="34" t="s">
        <v>724</v>
      </c>
    </row>
    <row r="328" spans="7:13" ht="15" x14ac:dyDescent="0.25">
      <c r="G328" s="7" t="s">
        <v>1250</v>
      </c>
      <c r="L328" s="35" t="s">
        <v>725</v>
      </c>
      <c r="M328" s="34" t="s">
        <v>726</v>
      </c>
    </row>
    <row r="329" spans="7:13" ht="15" x14ac:dyDescent="0.25">
      <c r="G329" s="7" t="s">
        <v>1067</v>
      </c>
      <c r="L329" s="35" t="s">
        <v>727</v>
      </c>
      <c r="M329" s="34" t="s">
        <v>728</v>
      </c>
    </row>
    <row r="330" spans="7:13" ht="15" x14ac:dyDescent="0.25">
      <c r="G330" s="7" t="s">
        <v>1251</v>
      </c>
      <c r="L330" s="35" t="s">
        <v>729</v>
      </c>
      <c r="M330" s="34" t="s">
        <v>730</v>
      </c>
    </row>
    <row r="331" spans="7:13" ht="15" x14ac:dyDescent="0.25">
      <c r="G331" s="7" t="s">
        <v>1252</v>
      </c>
      <c r="L331" s="35" t="s">
        <v>731</v>
      </c>
      <c r="M331" s="34" t="s">
        <v>732</v>
      </c>
    </row>
    <row r="332" spans="7:13" ht="15" x14ac:dyDescent="0.25">
      <c r="G332" s="7" t="s">
        <v>1253</v>
      </c>
      <c r="L332" s="35" t="s">
        <v>733</v>
      </c>
      <c r="M332" s="34" t="s">
        <v>734</v>
      </c>
    </row>
    <row r="333" spans="7:13" ht="15" x14ac:dyDescent="0.25">
      <c r="G333" s="7" t="s">
        <v>1254</v>
      </c>
      <c r="L333" s="35" t="s">
        <v>735</v>
      </c>
      <c r="M333" s="34" t="s">
        <v>736</v>
      </c>
    </row>
    <row r="334" spans="7:13" ht="15" x14ac:dyDescent="0.25">
      <c r="G334" s="7" t="s">
        <v>1255</v>
      </c>
      <c r="L334" s="35" t="s">
        <v>737</v>
      </c>
      <c r="M334" s="34" t="s">
        <v>738</v>
      </c>
    </row>
    <row r="335" spans="7:13" ht="15" x14ac:dyDescent="0.25">
      <c r="G335" s="7" t="s">
        <v>1256</v>
      </c>
      <c r="L335" s="35" t="s">
        <v>739</v>
      </c>
      <c r="M335" s="34" t="s">
        <v>740</v>
      </c>
    </row>
    <row r="336" spans="7:13" ht="15" x14ac:dyDescent="0.25">
      <c r="G336" s="7" t="s">
        <v>1257</v>
      </c>
      <c r="L336" s="35" t="s">
        <v>741</v>
      </c>
      <c r="M336" s="34" t="s">
        <v>742</v>
      </c>
    </row>
    <row r="337" spans="7:13" ht="15" x14ac:dyDescent="0.25">
      <c r="G337" s="7" t="s">
        <v>1258</v>
      </c>
      <c r="L337" s="35" t="s">
        <v>743</v>
      </c>
      <c r="M337" s="34" t="s">
        <v>744</v>
      </c>
    </row>
    <row r="338" spans="7:13" ht="15" x14ac:dyDescent="0.25">
      <c r="G338" s="7" t="s">
        <v>1259</v>
      </c>
      <c r="L338" s="35" t="s">
        <v>745</v>
      </c>
      <c r="M338" s="34" t="s">
        <v>746</v>
      </c>
    </row>
    <row r="339" spans="7:13" ht="15" x14ac:dyDescent="0.25">
      <c r="G339" s="7" t="s">
        <v>1260</v>
      </c>
      <c r="L339" s="35" t="s">
        <v>747</v>
      </c>
      <c r="M339" s="34" t="s">
        <v>748</v>
      </c>
    </row>
    <row r="340" spans="7:13" ht="15" x14ac:dyDescent="0.25">
      <c r="G340" s="7" t="s">
        <v>1261</v>
      </c>
      <c r="L340" s="35" t="s">
        <v>749</v>
      </c>
      <c r="M340" s="34" t="s">
        <v>750</v>
      </c>
    </row>
    <row r="341" spans="7:13" ht="15" x14ac:dyDescent="0.25">
      <c r="G341" s="7" t="s">
        <v>1262</v>
      </c>
      <c r="L341" s="35" t="s">
        <v>751</v>
      </c>
      <c r="M341" s="34" t="s">
        <v>752</v>
      </c>
    </row>
    <row r="342" spans="7:13" ht="15" x14ac:dyDescent="0.25">
      <c r="G342" s="7" t="s">
        <v>1263</v>
      </c>
      <c r="L342" s="35" t="s">
        <v>753</v>
      </c>
      <c r="M342" s="34" t="s">
        <v>754</v>
      </c>
    </row>
    <row r="343" spans="7:13" ht="15" x14ac:dyDescent="0.25">
      <c r="G343" s="7" t="s">
        <v>1264</v>
      </c>
      <c r="L343" s="35" t="s">
        <v>755</v>
      </c>
      <c r="M343" s="34" t="s">
        <v>756</v>
      </c>
    </row>
    <row r="344" spans="7:13" ht="15" x14ac:dyDescent="0.25">
      <c r="G344" s="7" t="s">
        <v>1265</v>
      </c>
      <c r="L344" s="35" t="s">
        <v>757</v>
      </c>
      <c r="M344" s="34" t="s">
        <v>758</v>
      </c>
    </row>
    <row r="345" spans="7:13" ht="15" x14ac:dyDescent="0.25">
      <c r="G345" s="7" t="s">
        <v>1266</v>
      </c>
      <c r="L345" s="35" t="s">
        <v>759</v>
      </c>
      <c r="M345" s="34" t="s">
        <v>760</v>
      </c>
    </row>
    <row r="346" spans="7:13" ht="15" x14ac:dyDescent="0.25">
      <c r="G346" s="7" t="s">
        <v>1267</v>
      </c>
      <c r="L346" s="35" t="s">
        <v>761</v>
      </c>
      <c r="M346" s="34" t="s">
        <v>762</v>
      </c>
    </row>
    <row r="347" spans="7:13" ht="15" x14ac:dyDescent="0.25">
      <c r="G347" s="7" t="s">
        <v>1268</v>
      </c>
      <c r="L347" s="35" t="s">
        <v>763</v>
      </c>
      <c r="M347" s="34" t="s">
        <v>764</v>
      </c>
    </row>
    <row r="348" spans="7:13" ht="15" x14ac:dyDescent="0.25">
      <c r="G348" s="7" t="s">
        <v>1269</v>
      </c>
      <c r="L348" s="35" t="s">
        <v>765</v>
      </c>
      <c r="M348" s="34" t="s">
        <v>765</v>
      </c>
    </row>
    <row r="349" spans="7:13" ht="15" x14ac:dyDescent="0.25">
      <c r="G349" s="7" t="s">
        <v>1270</v>
      </c>
      <c r="L349" s="35" t="s">
        <v>766</v>
      </c>
      <c r="M349" s="34" t="s">
        <v>767</v>
      </c>
    </row>
    <row r="350" spans="7:13" ht="15" x14ac:dyDescent="0.25">
      <c r="G350" s="7" t="s">
        <v>1271</v>
      </c>
      <c r="L350" s="35" t="s">
        <v>768</v>
      </c>
      <c r="M350" s="34" t="s">
        <v>769</v>
      </c>
    </row>
    <row r="351" spans="7:13" ht="15" x14ac:dyDescent="0.25">
      <c r="G351" s="7" t="s">
        <v>1272</v>
      </c>
      <c r="L351" s="35" t="s">
        <v>770</v>
      </c>
      <c r="M351" s="34" t="s">
        <v>771</v>
      </c>
    </row>
    <row r="352" spans="7:13" ht="15" x14ac:dyDescent="0.25">
      <c r="G352" s="7" t="s">
        <v>1273</v>
      </c>
      <c r="L352" s="35" t="s">
        <v>772</v>
      </c>
      <c r="M352" s="34" t="s">
        <v>773</v>
      </c>
    </row>
    <row r="353" spans="7:13" ht="15" x14ac:dyDescent="0.25">
      <c r="G353" s="7" t="s">
        <v>1274</v>
      </c>
      <c r="L353" s="35" t="s">
        <v>774</v>
      </c>
      <c r="M353" s="34" t="s">
        <v>775</v>
      </c>
    </row>
    <row r="354" spans="7:13" ht="15" x14ac:dyDescent="0.25">
      <c r="G354" s="7" t="s">
        <v>1275</v>
      </c>
      <c r="L354" s="35" t="s">
        <v>776</v>
      </c>
      <c r="M354" s="34" t="s">
        <v>777</v>
      </c>
    </row>
    <row r="355" spans="7:13" ht="15" x14ac:dyDescent="0.25">
      <c r="G355" s="7" t="s">
        <v>1276</v>
      </c>
      <c r="L355" s="35" t="s">
        <v>778</v>
      </c>
      <c r="M355" s="34" t="s">
        <v>779</v>
      </c>
    </row>
    <row r="356" spans="7:13" ht="15" x14ac:dyDescent="0.25">
      <c r="G356" s="7" t="s">
        <v>1277</v>
      </c>
      <c r="L356" s="35" t="s">
        <v>780</v>
      </c>
      <c r="M356" s="34" t="s">
        <v>781</v>
      </c>
    </row>
    <row r="357" spans="7:13" ht="15" x14ac:dyDescent="0.25">
      <c r="G357" s="7" t="s">
        <v>1278</v>
      </c>
      <c r="L357" s="35" t="s">
        <v>782</v>
      </c>
      <c r="M357" s="34" t="s">
        <v>783</v>
      </c>
    </row>
    <row r="358" spans="7:13" ht="15" x14ac:dyDescent="0.25">
      <c r="G358" s="7" t="s">
        <v>1279</v>
      </c>
      <c r="L358" s="35" t="s">
        <v>784</v>
      </c>
      <c r="M358" s="34" t="s">
        <v>785</v>
      </c>
    </row>
    <row r="359" spans="7:13" ht="15" x14ac:dyDescent="0.25">
      <c r="G359" s="7" t="s">
        <v>1280</v>
      </c>
      <c r="L359" s="35" t="s">
        <v>786</v>
      </c>
      <c r="M359" s="34" t="s">
        <v>787</v>
      </c>
    </row>
    <row r="360" spans="7:13" ht="15" x14ac:dyDescent="0.25">
      <c r="G360" s="7" t="s">
        <v>1281</v>
      </c>
      <c r="L360" s="35" t="s">
        <v>788</v>
      </c>
      <c r="M360" s="34" t="s">
        <v>789</v>
      </c>
    </row>
    <row r="361" spans="7:13" ht="15" x14ac:dyDescent="0.25">
      <c r="G361" s="7" t="s">
        <v>1282</v>
      </c>
      <c r="L361" s="35" t="s">
        <v>790</v>
      </c>
      <c r="M361" s="34" t="s">
        <v>791</v>
      </c>
    </row>
    <row r="362" spans="7:13" ht="15" x14ac:dyDescent="0.25">
      <c r="G362" s="7" t="s">
        <v>1283</v>
      </c>
      <c r="L362" s="35" t="s">
        <v>780</v>
      </c>
      <c r="M362" s="35" t="s">
        <v>792</v>
      </c>
    </row>
    <row r="363" spans="7:13" ht="15" x14ac:dyDescent="0.25">
      <c r="G363" s="7" t="s">
        <v>1284</v>
      </c>
      <c r="L363" s="35" t="s">
        <v>782</v>
      </c>
      <c r="M363" s="35" t="s">
        <v>793</v>
      </c>
    </row>
    <row r="364" spans="7:13" ht="15" x14ac:dyDescent="0.25">
      <c r="G364" s="7" t="s">
        <v>1285</v>
      </c>
      <c r="L364" s="35" t="s">
        <v>784</v>
      </c>
      <c r="M364" s="35" t="s">
        <v>794</v>
      </c>
    </row>
    <row r="365" spans="7:13" ht="15" x14ac:dyDescent="0.25">
      <c r="G365" s="7" t="s">
        <v>1286</v>
      </c>
      <c r="L365" s="35" t="s">
        <v>786</v>
      </c>
      <c r="M365" s="35" t="s">
        <v>795</v>
      </c>
    </row>
    <row r="366" spans="7:13" ht="15" x14ac:dyDescent="0.25">
      <c r="G366" s="7" t="s">
        <v>1287</v>
      </c>
      <c r="L366" s="35" t="s">
        <v>796</v>
      </c>
      <c r="M366" s="35" t="s">
        <v>797</v>
      </c>
    </row>
    <row r="367" spans="7:13" ht="15" x14ac:dyDescent="0.25">
      <c r="G367" s="7" t="s">
        <v>1288</v>
      </c>
      <c r="L367" s="35" t="s">
        <v>798</v>
      </c>
      <c r="M367" s="35" t="s">
        <v>799</v>
      </c>
    </row>
    <row r="368" spans="7:13" ht="15" x14ac:dyDescent="0.25">
      <c r="G368" s="7" t="s">
        <v>1289</v>
      </c>
      <c r="L368" s="35" t="s">
        <v>800</v>
      </c>
      <c r="M368" s="35" t="s">
        <v>801</v>
      </c>
    </row>
    <row r="369" spans="7:13" x14ac:dyDescent="0.2">
      <c r="G369" s="7" t="s">
        <v>1290</v>
      </c>
      <c r="L369" s="29"/>
      <c r="M369" s="29"/>
    </row>
    <row r="370" spans="7:13" x14ac:dyDescent="0.2">
      <c r="G370" s="7" t="s">
        <v>1291</v>
      </c>
      <c r="L370" s="29"/>
      <c r="M370" s="29"/>
    </row>
    <row r="371" spans="7:13" x14ac:dyDescent="0.2">
      <c r="G371" s="7" t="s">
        <v>1292</v>
      </c>
      <c r="L371" s="29"/>
      <c r="M371" s="29"/>
    </row>
    <row r="372" spans="7:13" x14ac:dyDescent="0.2">
      <c r="G372" s="7" t="s">
        <v>1293</v>
      </c>
      <c r="L372" s="29"/>
      <c r="M372" s="29"/>
    </row>
    <row r="373" spans="7:13" x14ac:dyDescent="0.2">
      <c r="G373" s="7" t="s">
        <v>1294</v>
      </c>
      <c r="L373" s="29"/>
      <c r="M373" s="29"/>
    </row>
    <row r="374" spans="7:13" x14ac:dyDescent="0.2">
      <c r="G374" s="7" t="s">
        <v>1295</v>
      </c>
      <c r="L374" s="29"/>
      <c r="M374" s="29"/>
    </row>
    <row r="375" spans="7:13" x14ac:dyDescent="0.2">
      <c r="G375" s="7" t="s">
        <v>1296</v>
      </c>
      <c r="L375" s="29"/>
      <c r="M375" s="29"/>
    </row>
    <row r="376" spans="7:13" x14ac:dyDescent="0.2">
      <c r="G376" s="7" t="s">
        <v>1297</v>
      </c>
      <c r="L376" s="29"/>
      <c r="M376" s="29"/>
    </row>
    <row r="377" spans="7:13" x14ac:dyDescent="0.2">
      <c r="G377" s="7" t="s">
        <v>1298</v>
      </c>
    </row>
    <row r="378" spans="7:13" x14ac:dyDescent="0.2">
      <c r="G378" s="7" t="s">
        <v>1299</v>
      </c>
    </row>
    <row r="379" spans="7:13" x14ac:dyDescent="0.2">
      <c r="G379" s="7" t="s">
        <v>1300</v>
      </c>
    </row>
    <row r="380" spans="7:13" x14ac:dyDescent="0.2">
      <c r="G380" s="7" t="s">
        <v>1301</v>
      </c>
    </row>
    <row r="381" spans="7:13" x14ac:dyDescent="0.2">
      <c r="G381" s="7" t="s">
        <v>1302</v>
      </c>
    </row>
    <row r="382" spans="7:13" x14ac:dyDescent="0.2">
      <c r="G382" s="7" t="s">
        <v>1303</v>
      </c>
    </row>
    <row r="383" spans="7:13" x14ac:dyDescent="0.2">
      <c r="G383" s="7" t="s">
        <v>1304</v>
      </c>
    </row>
    <row r="384" spans="7:13" x14ac:dyDescent="0.2">
      <c r="G384" s="7" t="s">
        <v>1305</v>
      </c>
    </row>
    <row r="385" spans="7:7" x14ac:dyDescent="0.2">
      <c r="G385" s="7" t="s">
        <v>1306</v>
      </c>
    </row>
    <row r="386" spans="7:7" x14ac:dyDescent="0.2">
      <c r="G386" s="7" t="s">
        <v>1307</v>
      </c>
    </row>
    <row r="387" spans="7:7" x14ac:dyDescent="0.2">
      <c r="G387" s="7" t="s">
        <v>1308</v>
      </c>
    </row>
    <row r="388" spans="7:7" x14ac:dyDescent="0.2">
      <c r="G388" s="7" t="s">
        <v>1309</v>
      </c>
    </row>
    <row r="389" spans="7:7" x14ac:dyDescent="0.2">
      <c r="G389" s="7" t="s">
        <v>1310</v>
      </c>
    </row>
    <row r="390" spans="7:7" x14ac:dyDescent="0.2">
      <c r="G390" s="7" t="s">
        <v>1311</v>
      </c>
    </row>
    <row r="391" spans="7:7" x14ac:dyDescent="0.2">
      <c r="G391" s="7" t="s">
        <v>1312</v>
      </c>
    </row>
    <row r="392" spans="7:7" x14ac:dyDescent="0.2">
      <c r="G392" s="7" t="s">
        <v>1313</v>
      </c>
    </row>
    <row r="393" spans="7:7" x14ac:dyDescent="0.2">
      <c r="G393" s="7" t="s">
        <v>1314</v>
      </c>
    </row>
    <row r="394" spans="7:7" x14ac:dyDescent="0.2">
      <c r="G394" s="7" t="s">
        <v>1315</v>
      </c>
    </row>
    <row r="395" spans="7:7" x14ac:dyDescent="0.2">
      <c r="G395" s="7" t="s">
        <v>1316</v>
      </c>
    </row>
    <row r="396" spans="7:7" x14ac:dyDescent="0.2">
      <c r="G396" s="7" t="s">
        <v>1317</v>
      </c>
    </row>
    <row r="397" spans="7:7" x14ac:dyDescent="0.2">
      <c r="G397" s="7" t="s">
        <v>1318</v>
      </c>
    </row>
    <row r="398" spans="7:7" x14ac:dyDescent="0.2">
      <c r="G398" s="7" t="s">
        <v>1319</v>
      </c>
    </row>
    <row r="399" spans="7:7" x14ac:dyDescent="0.2">
      <c r="G399" s="7" t="s">
        <v>1320</v>
      </c>
    </row>
    <row r="400" spans="7:7" x14ac:dyDescent="0.2">
      <c r="G400" s="7" t="s">
        <v>1321</v>
      </c>
    </row>
    <row r="401" spans="7:7" x14ac:dyDescent="0.2">
      <c r="G401" s="7" t="s">
        <v>1322</v>
      </c>
    </row>
    <row r="402" spans="7:7" x14ac:dyDescent="0.2">
      <c r="G402" s="7" t="s">
        <v>1323</v>
      </c>
    </row>
    <row r="403" spans="7:7" x14ac:dyDescent="0.2">
      <c r="G403" s="7" t="s">
        <v>1324</v>
      </c>
    </row>
    <row r="404" spans="7:7" x14ac:dyDescent="0.2">
      <c r="G404" s="7" t="s">
        <v>1325</v>
      </c>
    </row>
    <row r="405" spans="7:7" x14ac:dyDescent="0.2">
      <c r="G405" s="7" t="s">
        <v>1326</v>
      </c>
    </row>
    <row r="406" spans="7:7" x14ac:dyDescent="0.2">
      <c r="G406" s="7" t="s">
        <v>1327</v>
      </c>
    </row>
    <row r="407" spans="7:7" x14ac:dyDescent="0.2">
      <c r="G407" s="7" t="s">
        <v>1328</v>
      </c>
    </row>
    <row r="408" spans="7:7" x14ac:dyDescent="0.2">
      <c r="G408" s="7" t="s">
        <v>1329</v>
      </c>
    </row>
    <row r="409" spans="7:7" x14ac:dyDescent="0.2">
      <c r="G409" s="7" t="s">
        <v>1330</v>
      </c>
    </row>
    <row r="410" spans="7:7" x14ac:dyDescent="0.2">
      <c r="G410" s="7" t="s">
        <v>1331</v>
      </c>
    </row>
    <row r="411" spans="7:7" x14ac:dyDescent="0.2">
      <c r="G411" s="7" t="s">
        <v>1332</v>
      </c>
    </row>
    <row r="412" spans="7:7" x14ac:dyDescent="0.2">
      <c r="G412" s="7" t="s">
        <v>1333</v>
      </c>
    </row>
    <row r="413" spans="7:7" x14ac:dyDescent="0.2">
      <c r="G413" s="7" t="s">
        <v>1334</v>
      </c>
    </row>
    <row r="414" spans="7:7" x14ac:dyDescent="0.2">
      <c r="G414" s="7" t="s">
        <v>1335</v>
      </c>
    </row>
    <row r="415" spans="7:7" x14ac:dyDescent="0.2">
      <c r="G415" s="7" t="s">
        <v>1336</v>
      </c>
    </row>
    <row r="416" spans="7:7" x14ac:dyDescent="0.2">
      <c r="G416" s="7" t="s">
        <v>1337</v>
      </c>
    </row>
    <row r="417" spans="7:7" x14ac:dyDescent="0.2">
      <c r="G417" s="7" t="s">
        <v>1338</v>
      </c>
    </row>
    <row r="418" spans="7:7" x14ac:dyDescent="0.2">
      <c r="G418" s="7" t="s">
        <v>1339</v>
      </c>
    </row>
    <row r="419" spans="7:7" x14ac:dyDescent="0.2">
      <c r="G419" s="7" t="s">
        <v>1340</v>
      </c>
    </row>
    <row r="420" spans="7:7" x14ac:dyDescent="0.2">
      <c r="G420" s="7" t="s">
        <v>1341</v>
      </c>
    </row>
    <row r="421" spans="7:7" x14ac:dyDescent="0.2">
      <c r="G421" s="7" t="s">
        <v>1342</v>
      </c>
    </row>
    <row r="422" spans="7:7" x14ac:dyDescent="0.2">
      <c r="G422" s="7" t="s">
        <v>1343</v>
      </c>
    </row>
    <row r="423" spans="7:7" x14ac:dyDescent="0.2">
      <c r="G423" s="7" t="s">
        <v>1171</v>
      </c>
    </row>
    <row r="424" spans="7:7" x14ac:dyDescent="0.2">
      <c r="G424" s="7" t="s">
        <v>1344</v>
      </c>
    </row>
    <row r="425" spans="7:7" x14ac:dyDescent="0.2">
      <c r="G425" s="7" t="s">
        <v>1345</v>
      </c>
    </row>
    <row r="426" spans="7:7" x14ac:dyDescent="0.2">
      <c r="G426" s="7" t="s">
        <v>1346</v>
      </c>
    </row>
    <row r="427" spans="7:7" x14ac:dyDescent="0.2">
      <c r="G427" s="7" t="s">
        <v>1347</v>
      </c>
    </row>
    <row r="428" spans="7:7" x14ac:dyDescent="0.2">
      <c r="G428" s="7" t="s">
        <v>1348</v>
      </c>
    </row>
    <row r="429" spans="7:7" x14ac:dyDescent="0.2">
      <c r="G429" s="7" t="s">
        <v>1349</v>
      </c>
    </row>
    <row r="430" spans="7:7" x14ac:dyDescent="0.2">
      <c r="G430" s="7" t="s">
        <v>1350</v>
      </c>
    </row>
    <row r="431" spans="7:7" x14ac:dyDescent="0.2">
      <c r="G431" s="7" t="s">
        <v>1351</v>
      </c>
    </row>
    <row r="432" spans="7:7" x14ac:dyDescent="0.2">
      <c r="G432" s="7" t="s">
        <v>1352</v>
      </c>
    </row>
    <row r="433" spans="7:7" x14ac:dyDescent="0.2">
      <c r="G433" s="7" t="s">
        <v>1353</v>
      </c>
    </row>
    <row r="434" spans="7:7" x14ac:dyDescent="0.2">
      <c r="G434" s="7" t="s">
        <v>1354</v>
      </c>
    </row>
    <row r="435" spans="7:7" x14ac:dyDescent="0.2">
      <c r="G435" s="7" t="s">
        <v>1355</v>
      </c>
    </row>
    <row r="436" spans="7:7" x14ac:dyDescent="0.2">
      <c r="G436" s="7" t="s">
        <v>1356</v>
      </c>
    </row>
    <row r="437" spans="7:7" x14ac:dyDescent="0.2">
      <c r="G437" s="7" t="s">
        <v>1357</v>
      </c>
    </row>
    <row r="438" spans="7:7" x14ac:dyDescent="0.2">
      <c r="G438" s="7" t="s">
        <v>1358</v>
      </c>
    </row>
    <row r="439" spans="7:7" x14ac:dyDescent="0.2">
      <c r="G439" s="7" t="s">
        <v>1359</v>
      </c>
    </row>
    <row r="440" spans="7:7" x14ac:dyDescent="0.2">
      <c r="G440" s="7" t="s">
        <v>1360</v>
      </c>
    </row>
    <row r="441" spans="7:7" x14ac:dyDescent="0.2">
      <c r="G441" s="7" t="s">
        <v>1361</v>
      </c>
    </row>
    <row r="442" spans="7:7" x14ac:dyDescent="0.2">
      <c r="G442" s="7" t="s">
        <v>1362</v>
      </c>
    </row>
    <row r="443" spans="7:7" x14ac:dyDescent="0.2">
      <c r="G443" s="7" t="s">
        <v>1363</v>
      </c>
    </row>
    <row r="444" spans="7:7" x14ac:dyDescent="0.2">
      <c r="G444" s="7" t="s">
        <v>1364</v>
      </c>
    </row>
    <row r="445" spans="7:7" x14ac:dyDescent="0.2">
      <c r="G445" s="7" t="s">
        <v>1365</v>
      </c>
    </row>
    <row r="446" spans="7:7" x14ac:dyDescent="0.2">
      <c r="G446" s="7" t="s">
        <v>1366</v>
      </c>
    </row>
    <row r="447" spans="7:7" x14ac:dyDescent="0.2">
      <c r="G447" s="7" t="s">
        <v>1367</v>
      </c>
    </row>
    <row r="448" spans="7:7" x14ac:dyDescent="0.2">
      <c r="G448" s="7" t="s">
        <v>1368</v>
      </c>
    </row>
    <row r="449" spans="7:7" x14ac:dyDescent="0.2">
      <c r="G449" s="7" t="s">
        <v>1369</v>
      </c>
    </row>
    <row r="450" spans="7:7" x14ac:dyDescent="0.2">
      <c r="G450" s="7" t="s">
        <v>1370</v>
      </c>
    </row>
    <row r="451" spans="7:7" x14ac:dyDescent="0.2">
      <c r="G451" s="7" t="s">
        <v>1371</v>
      </c>
    </row>
    <row r="452" spans="7:7" x14ac:dyDescent="0.2">
      <c r="G452" s="7" t="s">
        <v>1372</v>
      </c>
    </row>
    <row r="453" spans="7:7" x14ac:dyDescent="0.2">
      <c r="G453" s="7" t="s">
        <v>1373</v>
      </c>
    </row>
    <row r="454" spans="7:7" x14ac:dyDescent="0.2">
      <c r="G454" s="7" t="s">
        <v>1374</v>
      </c>
    </row>
    <row r="455" spans="7:7" x14ac:dyDescent="0.2">
      <c r="G455" s="7" t="s">
        <v>1375</v>
      </c>
    </row>
    <row r="456" spans="7:7" x14ac:dyDescent="0.2">
      <c r="G456" s="7" t="s">
        <v>1376</v>
      </c>
    </row>
    <row r="457" spans="7:7" x14ac:dyDescent="0.2">
      <c r="G457" s="7" t="s">
        <v>1377</v>
      </c>
    </row>
    <row r="458" spans="7:7" x14ac:dyDescent="0.2">
      <c r="G458" s="7" t="s">
        <v>1378</v>
      </c>
    </row>
    <row r="459" spans="7:7" x14ac:dyDescent="0.2">
      <c r="G459" s="7" t="s">
        <v>1379</v>
      </c>
    </row>
    <row r="460" spans="7:7" x14ac:dyDescent="0.2">
      <c r="G460" s="7" t="s">
        <v>1380</v>
      </c>
    </row>
    <row r="461" spans="7:7" x14ac:dyDescent="0.2">
      <c r="G461" s="7" t="s">
        <v>1381</v>
      </c>
    </row>
    <row r="462" spans="7:7" x14ac:dyDescent="0.2">
      <c r="G462" s="7" t="s">
        <v>1382</v>
      </c>
    </row>
    <row r="463" spans="7:7" x14ac:dyDescent="0.2">
      <c r="G463" s="7" t="s">
        <v>1383</v>
      </c>
    </row>
    <row r="464" spans="7:7" x14ac:dyDescent="0.2">
      <c r="G464" s="7" t="s">
        <v>1384</v>
      </c>
    </row>
    <row r="465" spans="7:7" x14ac:dyDescent="0.2">
      <c r="G465" s="7" t="s">
        <v>1385</v>
      </c>
    </row>
    <row r="466" spans="7:7" x14ac:dyDescent="0.2">
      <c r="G466" s="7" t="s">
        <v>1386</v>
      </c>
    </row>
    <row r="467" spans="7:7" x14ac:dyDescent="0.2">
      <c r="G467" s="7" t="s">
        <v>1387</v>
      </c>
    </row>
    <row r="468" spans="7:7" x14ac:dyDescent="0.2">
      <c r="G468" s="7" t="s">
        <v>1388</v>
      </c>
    </row>
    <row r="469" spans="7:7" x14ac:dyDescent="0.2">
      <c r="G469" s="7" t="s">
        <v>1389</v>
      </c>
    </row>
    <row r="470" spans="7:7" x14ac:dyDescent="0.2">
      <c r="G470" s="7" t="s">
        <v>1390</v>
      </c>
    </row>
    <row r="471" spans="7:7" x14ac:dyDescent="0.2">
      <c r="G471" s="7" t="s">
        <v>1391</v>
      </c>
    </row>
    <row r="472" spans="7:7" x14ac:dyDescent="0.2">
      <c r="G472" s="7" t="s">
        <v>1392</v>
      </c>
    </row>
    <row r="473" spans="7:7" x14ac:dyDescent="0.2">
      <c r="G473" s="7" t="s">
        <v>1393</v>
      </c>
    </row>
    <row r="474" spans="7:7" x14ac:dyDescent="0.2">
      <c r="G474" s="7" t="s">
        <v>1394</v>
      </c>
    </row>
    <row r="475" spans="7:7" x14ac:dyDescent="0.2">
      <c r="G475" s="7" t="s">
        <v>1395</v>
      </c>
    </row>
    <row r="476" spans="7:7" x14ac:dyDescent="0.2">
      <c r="G476" s="7" t="s">
        <v>1396</v>
      </c>
    </row>
    <row r="477" spans="7:7" x14ac:dyDescent="0.2">
      <c r="G477" s="7" t="s">
        <v>1397</v>
      </c>
    </row>
    <row r="478" spans="7:7" x14ac:dyDescent="0.2">
      <c r="G478" s="7" t="s">
        <v>1398</v>
      </c>
    </row>
    <row r="479" spans="7:7" x14ac:dyDescent="0.2">
      <c r="G479" s="7" t="s">
        <v>1399</v>
      </c>
    </row>
    <row r="480" spans="7:7" x14ac:dyDescent="0.2">
      <c r="G480" s="7" t="s">
        <v>1400</v>
      </c>
    </row>
    <row r="481" spans="7:7" x14ac:dyDescent="0.2">
      <c r="G481" s="7" t="s">
        <v>1401</v>
      </c>
    </row>
    <row r="482" spans="7:7" x14ac:dyDescent="0.2">
      <c r="G482" s="7" t="s">
        <v>1402</v>
      </c>
    </row>
    <row r="483" spans="7:7" x14ac:dyDescent="0.2">
      <c r="G483" s="7" t="s">
        <v>1403</v>
      </c>
    </row>
    <row r="484" spans="7:7" x14ac:dyDescent="0.2">
      <c r="G484" s="7" t="s">
        <v>1404</v>
      </c>
    </row>
    <row r="485" spans="7:7" x14ac:dyDescent="0.2">
      <c r="G485" s="7" t="s">
        <v>1405</v>
      </c>
    </row>
    <row r="486" spans="7:7" x14ac:dyDescent="0.2">
      <c r="G486" s="7" t="s">
        <v>1406</v>
      </c>
    </row>
    <row r="487" spans="7:7" x14ac:dyDescent="0.2">
      <c r="G487" s="7" t="s">
        <v>1407</v>
      </c>
    </row>
    <row r="488" spans="7:7" x14ac:dyDescent="0.2">
      <c r="G488" s="7" t="s">
        <v>1408</v>
      </c>
    </row>
    <row r="489" spans="7:7" x14ac:dyDescent="0.2">
      <c r="G489" s="7" t="s">
        <v>1409</v>
      </c>
    </row>
    <row r="490" spans="7:7" x14ac:dyDescent="0.2">
      <c r="G490" s="7" t="s">
        <v>1410</v>
      </c>
    </row>
    <row r="491" spans="7:7" x14ac:dyDescent="0.2">
      <c r="G491" s="7" t="s">
        <v>1411</v>
      </c>
    </row>
    <row r="492" spans="7:7" x14ac:dyDescent="0.2">
      <c r="G492" s="7" t="s">
        <v>1412</v>
      </c>
    </row>
    <row r="493" spans="7:7" x14ac:dyDescent="0.2">
      <c r="G493" s="7" t="s">
        <v>1413</v>
      </c>
    </row>
    <row r="494" spans="7:7" x14ac:dyDescent="0.2">
      <c r="G494" s="7" t="s">
        <v>1414</v>
      </c>
    </row>
    <row r="495" spans="7:7" x14ac:dyDescent="0.2">
      <c r="G495" s="7" t="s">
        <v>1415</v>
      </c>
    </row>
    <row r="496" spans="7:7" x14ac:dyDescent="0.2">
      <c r="G496" s="7" t="s">
        <v>1416</v>
      </c>
    </row>
    <row r="497" spans="7:7" x14ac:dyDescent="0.2">
      <c r="G497" s="7" t="s">
        <v>1417</v>
      </c>
    </row>
    <row r="498" spans="7:7" x14ac:dyDescent="0.2">
      <c r="G498" s="7" t="s">
        <v>1418</v>
      </c>
    </row>
    <row r="499" spans="7:7" x14ac:dyDescent="0.2">
      <c r="G499" s="7" t="s">
        <v>1419</v>
      </c>
    </row>
    <row r="500" spans="7:7" x14ac:dyDescent="0.2">
      <c r="G500" s="7" t="s">
        <v>1420</v>
      </c>
    </row>
    <row r="501" spans="7:7" x14ac:dyDescent="0.2">
      <c r="G501" s="7" t="s">
        <v>1421</v>
      </c>
    </row>
    <row r="502" spans="7:7" x14ac:dyDescent="0.2">
      <c r="G502" s="7" t="s">
        <v>1422</v>
      </c>
    </row>
    <row r="503" spans="7:7" x14ac:dyDescent="0.2">
      <c r="G503" s="7" t="s">
        <v>1423</v>
      </c>
    </row>
    <row r="504" spans="7:7" x14ac:dyDescent="0.2">
      <c r="G504" s="7" t="s">
        <v>1424</v>
      </c>
    </row>
    <row r="505" spans="7:7" x14ac:dyDescent="0.2">
      <c r="G505" s="7" t="s">
        <v>1425</v>
      </c>
    </row>
    <row r="506" spans="7:7" x14ac:dyDescent="0.2">
      <c r="G506" s="7" t="s">
        <v>1426</v>
      </c>
    </row>
    <row r="507" spans="7:7" x14ac:dyDescent="0.2">
      <c r="G507" s="7" t="s">
        <v>1427</v>
      </c>
    </row>
    <row r="508" spans="7:7" x14ac:dyDescent="0.2">
      <c r="G508" s="7" t="s">
        <v>1428</v>
      </c>
    </row>
    <row r="509" spans="7:7" x14ac:dyDescent="0.2">
      <c r="G509" s="7" t="s">
        <v>1429</v>
      </c>
    </row>
    <row r="510" spans="7:7" x14ac:dyDescent="0.2">
      <c r="G510" s="7" t="s">
        <v>1430</v>
      </c>
    </row>
    <row r="511" spans="7:7" x14ac:dyDescent="0.2">
      <c r="G511" s="7" t="s">
        <v>1431</v>
      </c>
    </row>
    <row r="512" spans="7:7" x14ac:dyDescent="0.2">
      <c r="G512" s="7" t="s">
        <v>1432</v>
      </c>
    </row>
    <row r="513" spans="7:7" x14ac:dyDescent="0.2">
      <c r="G513" s="7" t="s">
        <v>1433</v>
      </c>
    </row>
    <row r="514" spans="7:7" x14ac:dyDescent="0.2">
      <c r="G514" s="7" t="s">
        <v>1434</v>
      </c>
    </row>
    <row r="515" spans="7:7" x14ac:dyDescent="0.2">
      <c r="G515" s="7" t="s">
        <v>1435</v>
      </c>
    </row>
    <row r="516" spans="7:7" x14ac:dyDescent="0.2">
      <c r="G516" s="7" t="s">
        <v>1436</v>
      </c>
    </row>
    <row r="517" spans="7:7" x14ac:dyDescent="0.2">
      <c r="G517" s="7" t="s">
        <v>1437</v>
      </c>
    </row>
    <row r="518" spans="7:7" x14ac:dyDescent="0.2">
      <c r="G518" s="7" t="s">
        <v>1438</v>
      </c>
    </row>
    <row r="519" spans="7:7" x14ac:dyDescent="0.2">
      <c r="G519" s="7" t="s">
        <v>1439</v>
      </c>
    </row>
    <row r="520" spans="7:7" x14ac:dyDescent="0.2">
      <c r="G520" s="7" t="s">
        <v>1440</v>
      </c>
    </row>
    <row r="521" spans="7:7" x14ac:dyDescent="0.2">
      <c r="G521" s="7" t="s">
        <v>1441</v>
      </c>
    </row>
    <row r="522" spans="7:7" x14ac:dyDescent="0.2">
      <c r="G522" s="7" t="s">
        <v>1442</v>
      </c>
    </row>
    <row r="523" spans="7:7" x14ac:dyDescent="0.2">
      <c r="G523" s="7" t="s">
        <v>1443</v>
      </c>
    </row>
    <row r="524" spans="7:7" x14ac:dyDescent="0.2">
      <c r="G524" s="7" t="s">
        <v>1444</v>
      </c>
    </row>
    <row r="525" spans="7:7" x14ac:dyDescent="0.2">
      <c r="G525" s="7" t="s">
        <v>994</v>
      </c>
    </row>
    <row r="526" spans="7:7" x14ac:dyDescent="0.2">
      <c r="G526" s="7" t="s">
        <v>1445</v>
      </c>
    </row>
    <row r="527" spans="7:7" x14ac:dyDescent="0.2">
      <c r="G527" s="7" t="s">
        <v>1446</v>
      </c>
    </row>
    <row r="528" spans="7:7" x14ac:dyDescent="0.2">
      <c r="G528" s="7" t="s">
        <v>1447</v>
      </c>
    </row>
    <row r="529" spans="7:7" x14ac:dyDescent="0.2">
      <c r="G529" s="7" t="s">
        <v>1448</v>
      </c>
    </row>
    <row r="530" spans="7:7" x14ac:dyDescent="0.2">
      <c r="G530" s="7" t="s">
        <v>1449</v>
      </c>
    </row>
    <row r="531" spans="7:7" x14ac:dyDescent="0.2">
      <c r="G531" s="7" t="s">
        <v>1450</v>
      </c>
    </row>
    <row r="532" spans="7:7" x14ac:dyDescent="0.2">
      <c r="G532" s="7" t="s">
        <v>1451</v>
      </c>
    </row>
    <row r="533" spans="7:7" x14ac:dyDescent="0.2">
      <c r="G533" s="7" t="s">
        <v>1452</v>
      </c>
    </row>
    <row r="534" spans="7:7" x14ac:dyDescent="0.2">
      <c r="G534" s="7" t="s">
        <v>1453</v>
      </c>
    </row>
    <row r="535" spans="7:7" x14ac:dyDescent="0.2">
      <c r="G535" s="7" t="s">
        <v>1454</v>
      </c>
    </row>
    <row r="536" spans="7:7" x14ac:dyDescent="0.2">
      <c r="G536" s="7" t="s">
        <v>1455</v>
      </c>
    </row>
    <row r="537" spans="7:7" x14ac:dyDescent="0.2">
      <c r="G537" s="7" t="s">
        <v>1456</v>
      </c>
    </row>
    <row r="538" spans="7:7" x14ac:dyDescent="0.2">
      <c r="G538" s="7" t="s">
        <v>1457</v>
      </c>
    </row>
    <row r="539" spans="7:7" x14ac:dyDescent="0.2">
      <c r="G539" s="7" t="s">
        <v>1458</v>
      </c>
    </row>
    <row r="540" spans="7:7" x14ac:dyDescent="0.2">
      <c r="G540" s="7" t="s">
        <v>1459</v>
      </c>
    </row>
    <row r="541" spans="7:7" x14ac:dyDescent="0.2">
      <c r="G541" s="7" t="s">
        <v>1460</v>
      </c>
    </row>
    <row r="542" spans="7:7" x14ac:dyDescent="0.2">
      <c r="G542" s="7" t="s">
        <v>1461</v>
      </c>
    </row>
    <row r="543" spans="7:7" x14ac:dyDescent="0.2">
      <c r="G543" s="7" t="s">
        <v>1462</v>
      </c>
    </row>
    <row r="544" spans="7:7" x14ac:dyDescent="0.2">
      <c r="G544" s="7" t="s">
        <v>1463</v>
      </c>
    </row>
    <row r="545" spans="7:7" x14ac:dyDescent="0.2">
      <c r="G545" s="7" t="s">
        <v>1464</v>
      </c>
    </row>
    <row r="546" spans="7:7" x14ac:dyDescent="0.2">
      <c r="G546" s="7" t="s">
        <v>1465</v>
      </c>
    </row>
    <row r="547" spans="7:7" x14ac:dyDescent="0.2">
      <c r="G547" s="7" t="s">
        <v>1466</v>
      </c>
    </row>
    <row r="548" spans="7:7" x14ac:dyDescent="0.2">
      <c r="G548" s="7" t="s">
        <v>1467</v>
      </c>
    </row>
    <row r="549" spans="7:7" x14ac:dyDescent="0.2">
      <c r="G549" s="7" t="s">
        <v>1468</v>
      </c>
    </row>
    <row r="550" spans="7:7" x14ac:dyDescent="0.2">
      <c r="G550" s="7" t="s">
        <v>1469</v>
      </c>
    </row>
    <row r="551" spans="7:7" x14ac:dyDescent="0.2">
      <c r="G551" s="7" t="s">
        <v>1470</v>
      </c>
    </row>
    <row r="552" spans="7:7" x14ac:dyDescent="0.2">
      <c r="G552" s="7" t="s">
        <v>1044</v>
      </c>
    </row>
    <row r="553" spans="7:7" x14ac:dyDescent="0.2">
      <c r="G553" s="7" t="s">
        <v>1471</v>
      </c>
    </row>
    <row r="554" spans="7:7" x14ac:dyDescent="0.2">
      <c r="G554" s="7" t="s">
        <v>1472</v>
      </c>
    </row>
    <row r="555" spans="7:7" x14ac:dyDescent="0.2">
      <c r="G555" s="7" t="s">
        <v>1473</v>
      </c>
    </row>
    <row r="556" spans="7:7" x14ac:dyDescent="0.2">
      <c r="G556" s="7" t="s">
        <v>1474</v>
      </c>
    </row>
    <row r="557" spans="7:7" x14ac:dyDescent="0.2">
      <c r="G557" s="7" t="s">
        <v>1475</v>
      </c>
    </row>
    <row r="558" spans="7:7" x14ac:dyDescent="0.2">
      <c r="G558" s="7" t="s">
        <v>1476</v>
      </c>
    </row>
    <row r="559" spans="7:7" x14ac:dyDescent="0.2">
      <c r="G559" s="7" t="s">
        <v>1477</v>
      </c>
    </row>
    <row r="560" spans="7:7" x14ac:dyDescent="0.2">
      <c r="G560" s="7" t="s">
        <v>1478</v>
      </c>
    </row>
    <row r="561" spans="7:7" x14ac:dyDescent="0.2">
      <c r="G561" s="7" t="s">
        <v>1479</v>
      </c>
    </row>
    <row r="562" spans="7:7" x14ac:dyDescent="0.2">
      <c r="G562" s="7" t="s">
        <v>1480</v>
      </c>
    </row>
    <row r="563" spans="7:7" x14ac:dyDescent="0.2">
      <c r="G563" s="7" t="s">
        <v>1481</v>
      </c>
    </row>
    <row r="564" spans="7:7" x14ac:dyDescent="0.2">
      <c r="G564" s="7" t="s">
        <v>1482</v>
      </c>
    </row>
    <row r="565" spans="7:7" x14ac:dyDescent="0.2">
      <c r="G565" s="7" t="s">
        <v>1483</v>
      </c>
    </row>
    <row r="566" spans="7:7" x14ac:dyDescent="0.2">
      <c r="G566" s="7" t="s">
        <v>1484</v>
      </c>
    </row>
    <row r="567" spans="7:7" x14ac:dyDescent="0.2">
      <c r="G567" s="7" t="s">
        <v>1485</v>
      </c>
    </row>
    <row r="568" spans="7:7" x14ac:dyDescent="0.2">
      <c r="G568" s="7" t="s">
        <v>1486</v>
      </c>
    </row>
    <row r="569" spans="7:7" x14ac:dyDescent="0.2">
      <c r="G569" s="7" t="s">
        <v>1487</v>
      </c>
    </row>
    <row r="570" spans="7:7" x14ac:dyDescent="0.2">
      <c r="G570" s="7" t="s">
        <v>1488</v>
      </c>
    </row>
    <row r="571" spans="7:7" x14ac:dyDescent="0.2">
      <c r="G571" s="7" t="s">
        <v>1489</v>
      </c>
    </row>
    <row r="572" spans="7:7" x14ac:dyDescent="0.2">
      <c r="G572" s="7" t="s">
        <v>1490</v>
      </c>
    </row>
    <row r="573" spans="7:7" x14ac:dyDescent="0.2">
      <c r="G573" s="7" t="s">
        <v>1491</v>
      </c>
    </row>
    <row r="574" spans="7:7" x14ac:dyDescent="0.2">
      <c r="G574" s="7" t="s">
        <v>1492</v>
      </c>
    </row>
    <row r="575" spans="7:7" x14ac:dyDescent="0.2">
      <c r="G575" s="7" t="s">
        <v>1493</v>
      </c>
    </row>
    <row r="576" spans="7:7" x14ac:dyDescent="0.2">
      <c r="G576" s="7" t="s">
        <v>1494</v>
      </c>
    </row>
    <row r="577" spans="7:7" x14ac:dyDescent="0.2">
      <c r="G577" s="7" t="s">
        <v>1495</v>
      </c>
    </row>
    <row r="578" spans="7:7" x14ac:dyDescent="0.2">
      <c r="G578" s="7" t="s">
        <v>1496</v>
      </c>
    </row>
    <row r="579" spans="7:7" x14ac:dyDescent="0.2">
      <c r="G579" s="7" t="s">
        <v>1497</v>
      </c>
    </row>
    <row r="580" spans="7:7" x14ac:dyDescent="0.2">
      <c r="G580" s="7" t="s">
        <v>1498</v>
      </c>
    </row>
    <row r="581" spans="7:7" x14ac:dyDescent="0.2">
      <c r="G581" s="7" t="s">
        <v>1499</v>
      </c>
    </row>
    <row r="582" spans="7:7" x14ac:dyDescent="0.2">
      <c r="G582" s="7" t="s">
        <v>1500</v>
      </c>
    </row>
    <row r="583" spans="7:7" x14ac:dyDescent="0.2">
      <c r="G583" s="7" t="s">
        <v>1501</v>
      </c>
    </row>
    <row r="584" spans="7:7" x14ac:dyDescent="0.2">
      <c r="G584" s="7" t="s">
        <v>1502</v>
      </c>
    </row>
    <row r="585" spans="7:7" x14ac:dyDescent="0.2">
      <c r="G585" s="7" t="s">
        <v>1503</v>
      </c>
    </row>
    <row r="586" spans="7:7" x14ac:dyDescent="0.2">
      <c r="G586" s="7" t="s">
        <v>1504</v>
      </c>
    </row>
    <row r="587" spans="7:7" x14ac:dyDescent="0.2">
      <c r="G587" s="7" t="s">
        <v>1462</v>
      </c>
    </row>
    <row r="588" spans="7:7" x14ac:dyDescent="0.2">
      <c r="G588" s="7" t="s">
        <v>1505</v>
      </c>
    </row>
    <row r="589" spans="7:7" x14ac:dyDescent="0.2">
      <c r="G589" s="7" t="s">
        <v>1506</v>
      </c>
    </row>
    <row r="590" spans="7:7" x14ac:dyDescent="0.2">
      <c r="G590" s="7" t="s">
        <v>1507</v>
      </c>
    </row>
    <row r="591" spans="7:7" x14ac:dyDescent="0.2">
      <c r="G591" s="7" t="s">
        <v>1508</v>
      </c>
    </row>
    <row r="592" spans="7:7" x14ac:dyDescent="0.2">
      <c r="G592" s="7" t="s">
        <v>1509</v>
      </c>
    </row>
    <row r="593" spans="7:7" x14ac:dyDescent="0.2">
      <c r="G593" s="7" t="s">
        <v>1462</v>
      </c>
    </row>
    <row r="594" spans="7:7" x14ac:dyDescent="0.2">
      <c r="G594" s="7" t="s">
        <v>1510</v>
      </c>
    </row>
    <row r="595" spans="7:7" x14ac:dyDescent="0.2">
      <c r="G595" s="7" t="s">
        <v>1511</v>
      </c>
    </row>
    <row r="596" spans="7:7" x14ac:dyDescent="0.2">
      <c r="G596" s="7" t="s">
        <v>1512</v>
      </c>
    </row>
    <row r="597" spans="7:7" x14ac:dyDescent="0.2">
      <c r="G597" s="7" t="s">
        <v>1513</v>
      </c>
    </row>
    <row r="598" spans="7:7" x14ac:dyDescent="0.2">
      <c r="G598" s="7" t="s">
        <v>1514</v>
      </c>
    </row>
    <row r="599" spans="7:7" x14ac:dyDescent="0.2">
      <c r="G599" s="7" t="s">
        <v>1462</v>
      </c>
    </row>
    <row r="600" spans="7:7" x14ac:dyDescent="0.2">
      <c r="G600" s="7" t="s">
        <v>1515</v>
      </c>
    </row>
    <row r="601" spans="7:7" x14ac:dyDescent="0.2">
      <c r="G601" s="7" t="s">
        <v>1516</v>
      </c>
    </row>
    <row r="602" spans="7:7" x14ac:dyDescent="0.2">
      <c r="G602" s="7" t="s">
        <v>1517</v>
      </c>
    </row>
    <row r="603" spans="7:7" x14ac:dyDescent="0.2">
      <c r="G603" s="7" t="s">
        <v>1518</v>
      </c>
    </row>
    <row r="604" spans="7:7" x14ac:dyDescent="0.2">
      <c r="G604" s="7" t="s">
        <v>1519</v>
      </c>
    </row>
    <row r="605" spans="7:7" x14ac:dyDescent="0.2">
      <c r="G605" s="7" t="s">
        <v>1520</v>
      </c>
    </row>
    <row r="606" spans="7:7" x14ac:dyDescent="0.2">
      <c r="G606" s="7" t="s">
        <v>1521</v>
      </c>
    </row>
    <row r="607" spans="7:7" x14ac:dyDescent="0.2">
      <c r="G607" s="7" t="s">
        <v>1522</v>
      </c>
    </row>
    <row r="608" spans="7:7" x14ac:dyDescent="0.2">
      <c r="G608" s="7" t="s">
        <v>1523</v>
      </c>
    </row>
    <row r="609" spans="7:7" x14ac:dyDescent="0.2">
      <c r="G609" s="7" t="s">
        <v>1524</v>
      </c>
    </row>
    <row r="610" spans="7:7" x14ac:dyDescent="0.2">
      <c r="G610" s="7" t="s">
        <v>1525</v>
      </c>
    </row>
    <row r="611" spans="7:7" x14ac:dyDescent="0.2">
      <c r="G611" s="7" t="s">
        <v>1462</v>
      </c>
    </row>
    <row r="612" spans="7:7" x14ac:dyDescent="0.2">
      <c r="G612" s="7" t="s">
        <v>1526</v>
      </c>
    </row>
    <row r="613" spans="7:7" x14ac:dyDescent="0.2">
      <c r="G613" s="7" t="s">
        <v>1527</v>
      </c>
    </row>
    <row r="614" spans="7:7" x14ac:dyDescent="0.2">
      <c r="G614" s="7" t="s">
        <v>1528</v>
      </c>
    </row>
    <row r="615" spans="7:7" x14ac:dyDescent="0.2">
      <c r="G615" s="7" t="s">
        <v>1529</v>
      </c>
    </row>
    <row r="616" spans="7:7" x14ac:dyDescent="0.2">
      <c r="G616" s="7" t="s">
        <v>1530</v>
      </c>
    </row>
    <row r="617" spans="7:7" x14ac:dyDescent="0.2">
      <c r="G617" s="7" t="s">
        <v>1531</v>
      </c>
    </row>
    <row r="618" spans="7:7" x14ac:dyDescent="0.2">
      <c r="G618" s="7" t="s">
        <v>1532</v>
      </c>
    </row>
    <row r="619" spans="7:7" x14ac:dyDescent="0.2">
      <c r="G619" s="7" t="s">
        <v>1533</v>
      </c>
    </row>
    <row r="620" spans="7:7" x14ac:dyDescent="0.2">
      <c r="G620" s="7" t="s">
        <v>1534</v>
      </c>
    </row>
    <row r="621" spans="7:7" x14ac:dyDescent="0.2">
      <c r="G621" s="7" t="s">
        <v>1535</v>
      </c>
    </row>
    <row r="622" spans="7:7" x14ac:dyDescent="0.2">
      <c r="G622" s="7" t="s">
        <v>1536</v>
      </c>
    </row>
    <row r="623" spans="7:7" x14ac:dyDescent="0.2">
      <c r="G623" s="7" t="s">
        <v>1537</v>
      </c>
    </row>
    <row r="624" spans="7:7" x14ac:dyDescent="0.2">
      <c r="G624" s="7" t="s">
        <v>1538</v>
      </c>
    </row>
    <row r="625" spans="7:7" x14ac:dyDescent="0.2">
      <c r="G625" s="7" t="s">
        <v>1539</v>
      </c>
    </row>
    <row r="626" spans="7:7" x14ac:dyDescent="0.2">
      <c r="G626" s="7" t="s">
        <v>1540</v>
      </c>
    </row>
    <row r="627" spans="7:7" x14ac:dyDescent="0.2">
      <c r="G627" s="7" t="s">
        <v>1541</v>
      </c>
    </row>
    <row r="628" spans="7:7" x14ac:dyDescent="0.2">
      <c r="G628" s="7" t="s">
        <v>1128</v>
      </c>
    </row>
    <row r="629" spans="7:7" x14ac:dyDescent="0.2">
      <c r="G629" s="7" t="s">
        <v>1542</v>
      </c>
    </row>
    <row r="630" spans="7:7" x14ac:dyDescent="0.2">
      <c r="G630" s="7" t="s">
        <v>1543</v>
      </c>
    </row>
    <row r="631" spans="7:7" x14ac:dyDescent="0.2">
      <c r="G631" s="7" t="s">
        <v>1544</v>
      </c>
    </row>
    <row r="632" spans="7:7" x14ac:dyDescent="0.2">
      <c r="G632" s="7" t="s">
        <v>1545</v>
      </c>
    </row>
    <row r="633" spans="7:7" x14ac:dyDescent="0.2">
      <c r="G633" s="7" t="s">
        <v>1546</v>
      </c>
    </row>
    <row r="634" spans="7:7" x14ac:dyDescent="0.2">
      <c r="G634" s="7" t="s">
        <v>1462</v>
      </c>
    </row>
    <row r="635" spans="7:7" x14ac:dyDescent="0.2">
      <c r="G635" s="7" t="s">
        <v>1547</v>
      </c>
    </row>
    <row r="636" spans="7:7" x14ac:dyDescent="0.2">
      <c r="G636" s="7" t="s">
        <v>1548</v>
      </c>
    </row>
    <row r="637" spans="7:7" x14ac:dyDescent="0.2">
      <c r="G637" s="7" t="s">
        <v>1549</v>
      </c>
    </row>
    <row r="638" spans="7:7" x14ac:dyDescent="0.2">
      <c r="G638" s="7" t="s">
        <v>1550</v>
      </c>
    </row>
    <row r="639" spans="7:7" x14ac:dyDescent="0.2">
      <c r="G639" s="7" t="s">
        <v>1551</v>
      </c>
    </row>
    <row r="640" spans="7:7" x14ac:dyDescent="0.2">
      <c r="G640" s="7" t="s">
        <v>1552</v>
      </c>
    </row>
    <row r="641" spans="7:7" x14ac:dyDescent="0.2">
      <c r="G641" s="7" t="s">
        <v>1553</v>
      </c>
    </row>
    <row r="642" spans="7:7" x14ac:dyDescent="0.2">
      <c r="G642" s="7" t="s">
        <v>1554</v>
      </c>
    </row>
    <row r="643" spans="7:7" x14ac:dyDescent="0.2">
      <c r="G643" s="7" t="s">
        <v>1462</v>
      </c>
    </row>
    <row r="644" spans="7:7" x14ac:dyDescent="0.2">
      <c r="G644" s="7" t="s">
        <v>1012</v>
      </c>
    </row>
    <row r="645" spans="7:7" x14ac:dyDescent="0.2">
      <c r="G645" s="7" t="s">
        <v>1555</v>
      </c>
    </row>
    <row r="646" spans="7:7" x14ac:dyDescent="0.2">
      <c r="G646" s="7" t="s">
        <v>1556</v>
      </c>
    </row>
    <row r="647" spans="7:7" x14ac:dyDescent="0.2">
      <c r="G647" s="7" t="s">
        <v>1557</v>
      </c>
    </row>
    <row r="648" spans="7:7" x14ac:dyDescent="0.2">
      <c r="G648" s="7" t="s">
        <v>1558</v>
      </c>
    </row>
    <row r="649" spans="7:7" x14ac:dyDescent="0.2">
      <c r="G649" s="7" t="s">
        <v>1559</v>
      </c>
    </row>
    <row r="650" spans="7:7" x14ac:dyDescent="0.2">
      <c r="G650" s="7" t="s">
        <v>1560</v>
      </c>
    </row>
    <row r="651" spans="7:7" x14ac:dyDescent="0.2">
      <c r="G651" s="7" t="s">
        <v>1462</v>
      </c>
    </row>
    <row r="652" spans="7:7" x14ac:dyDescent="0.2">
      <c r="G652" s="7" t="s">
        <v>1561</v>
      </c>
    </row>
    <row r="653" spans="7:7" x14ac:dyDescent="0.2">
      <c r="G653" s="7" t="s">
        <v>1562</v>
      </c>
    </row>
    <row r="654" spans="7:7" x14ac:dyDescent="0.2">
      <c r="G654" s="7" t="s">
        <v>1563</v>
      </c>
    </row>
    <row r="655" spans="7:7" x14ac:dyDescent="0.2">
      <c r="G655" s="7" t="s">
        <v>1564</v>
      </c>
    </row>
    <row r="656" spans="7:7" x14ac:dyDescent="0.2">
      <c r="G656" s="7" t="s">
        <v>1565</v>
      </c>
    </row>
    <row r="657" spans="7:7" x14ac:dyDescent="0.2">
      <c r="G657" s="7" t="s">
        <v>1566</v>
      </c>
    </row>
    <row r="658" spans="7:7" x14ac:dyDescent="0.2">
      <c r="G658" s="7" t="s">
        <v>1567</v>
      </c>
    </row>
    <row r="659" spans="7:7" x14ac:dyDescent="0.2">
      <c r="G659" s="7" t="s">
        <v>1568</v>
      </c>
    </row>
    <row r="660" spans="7:7" x14ac:dyDescent="0.2">
      <c r="G660" s="7" t="s">
        <v>1569</v>
      </c>
    </row>
    <row r="661" spans="7:7" x14ac:dyDescent="0.2">
      <c r="G661" s="7" t="s">
        <v>1570</v>
      </c>
    </row>
    <row r="662" spans="7:7" x14ac:dyDescent="0.2">
      <c r="G662" s="7" t="s">
        <v>1571</v>
      </c>
    </row>
    <row r="663" spans="7:7" x14ac:dyDescent="0.2">
      <c r="G663" s="7" t="s">
        <v>1572</v>
      </c>
    </row>
    <row r="664" spans="7:7" x14ac:dyDescent="0.2">
      <c r="G664" s="7" t="s">
        <v>1573</v>
      </c>
    </row>
    <row r="665" spans="7:7" x14ac:dyDescent="0.2">
      <c r="G665" s="7" t="s">
        <v>1574</v>
      </c>
    </row>
    <row r="666" spans="7:7" x14ac:dyDescent="0.2">
      <c r="G666" s="7" t="s">
        <v>1347</v>
      </c>
    </row>
    <row r="667" spans="7:7" x14ac:dyDescent="0.2">
      <c r="G667" s="7" t="s">
        <v>1575</v>
      </c>
    </row>
    <row r="668" spans="7:7" x14ac:dyDescent="0.2">
      <c r="G668" s="7" t="s">
        <v>1295</v>
      </c>
    </row>
    <row r="669" spans="7:7" x14ac:dyDescent="0.2">
      <c r="G669" s="7" t="s">
        <v>1576</v>
      </c>
    </row>
    <row r="670" spans="7:7" x14ac:dyDescent="0.2">
      <c r="G670" s="7" t="s">
        <v>1577</v>
      </c>
    </row>
    <row r="671" spans="7:7" x14ac:dyDescent="0.2">
      <c r="G671" s="7" t="s">
        <v>1578</v>
      </c>
    </row>
    <row r="672" spans="7:7" x14ac:dyDescent="0.2">
      <c r="G672" s="7" t="s">
        <v>1579</v>
      </c>
    </row>
    <row r="673" spans="7:7" x14ac:dyDescent="0.2">
      <c r="G673" s="7" t="s">
        <v>1462</v>
      </c>
    </row>
    <row r="674" spans="7:7" x14ac:dyDescent="0.2">
      <c r="G674" s="7" t="s">
        <v>1580</v>
      </c>
    </row>
    <row r="675" spans="7:7" x14ac:dyDescent="0.2">
      <c r="G675" s="7" t="s">
        <v>1581</v>
      </c>
    </row>
    <row r="676" spans="7:7" x14ac:dyDescent="0.2">
      <c r="G676" s="7" t="s">
        <v>1582</v>
      </c>
    </row>
    <row r="677" spans="7:7" x14ac:dyDescent="0.2">
      <c r="G677" s="7" t="s">
        <v>1583</v>
      </c>
    </row>
    <row r="678" spans="7:7" x14ac:dyDescent="0.2">
      <c r="G678" s="7" t="s">
        <v>1462</v>
      </c>
    </row>
    <row r="679" spans="7:7" x14ac:dyDescent="0.2">
      <c r="G679" s="7" t="s">
        <v>1584</v>
      </c>
    </row>
    <row r="680" spans="7:7" x14ac:dyDescent="0.2">
      <c r="G680" s="7" t="s">
        <v>1585</v>
      </c>
    </row>
    <row r="681" spans="7:7" x14ac:dyDescent="0.2">
      <c r="G681" s="7" t="s">
        <v>1586</v>
      </c>
    </row>
    <row r="682" spans="7:7" x14ac:dyDescent="0.2">
      <c r="G682" s="7" t="s">
        <v>1587</v>
      </c>
    </row>
    <row r="683" spans="7:7" x14ac:dyDescent="0.2">
      <c r="G683" s="7" t="s">
        <v>1588</v>
      </c>
    </row>
    <row r="684" spans="7:7" x14ac:dyDescent="0.2">
      <c r="G684" s="7" t="s">
        <v>1589</v>
      </c>
    </row>
    <row r="685" spans="7:7" x14ac:dyDescent="0.2">
      <c r="G685" s="7" t="s">
        <v>1590</v>
      </c>
    </row>
    <row r="686" spans="7:7" x14ac:dyDescent="0.2">
      <c r="G686" s="7" t="s">
        <v>1591</v>
      </c>
    </row>
    <row r="687" spans="7:7" x14ac:dyDescent="0.2">
      <c r="G687" s="7" t="s">
        <v>1592</v>
      </c>
    </row>
    <row r="688" spans="7:7" x14ac:dyDescent="0.2">
      <c r="G688" s="7" t="s">
        <v>1593</v>
      </c>
    </row>
    <row r="689" spans="7:7" x14ac:dyDescent="0.2">
      <c r="G689" s="7" t="s">
        <v>1594</v>
      </c>
    </row>
    <row r="690" spans="7:7" x14ac:dyDescent="0.2">
      <c r="G690" s="7" t="s">
        <v>1595</v>
      </c>
    </row>
    <row r="691" spans="7:7" x14ac:dyDescent="0.2">
      <c r="G691" s="7" t="s">
        <v>1596</v>
      </c>
    </row>
    <row r="692" spans="7:7" x14ac:dyDescent="0.2">
      <c r="G692" s="7" t="s">
        <v>1597</v>
      </c>
    </row>
    <row r="693" spans="7:7" x14ac:dyDescent="0.2">
      <c r="G693" s="7" t="s">
        <v>1598</v>
      </c>
    </row>
    <row r="694" spans="7:7" x14ac:dyDescent="0.2">
      <c r="G694" s="7" t="s">
        <v>1599</v>
      </c>
    </row>
    <row r="695" spans="7:7" x14ac:dyDescent="0.2">
      <c r="G695" s="7" t="s">
        <v>1600</v>
      </c>
    </row>
    <row r="696" spans="7:7" x14ac:dyDescent="0.2">
      <c r="G696" s="7" t="s">
        <v>1601</v>
      </c>
    </row>
    <row r="697" spans="7:7" x14ac:dyDescent="0.2">
      <c r="G697" s="7" t="s">
        <v>1602</v>
      </c>
    </row>
    <row r="698" spans="7:7" x14ac:dyDescent="0.2">
      <c r="G698" s="7" t="s">
        <v>1603</v>
      </c>
    </row>
    <row r="699" spans="7:7" x14ac:dyDescent="0.2">
      <c r="G699" s="7" t="s">
        <v>1604</v>
      </c>
    </row>
    <row r="700" spans="7:7" x14ac:dyDescent="0.2">
      <c r="G700" s="7" t="s">
        <v>1605</v>
      </c>
    </row>
    <row r="701" spans="7:7" x14ac:dyDescent="0.2">
      <c r="G701" s="7" t="s">
        <v>1606</v>
      </c>
    </row>
    <row r="702" spans="7:7" x14ac:dyDescent="0.2">
      <c r="G702" s="7" t="s">
        <v>1551</v>
      </c>
    </row>
    <row r="703" spans="7:7" x14ac:dyDescent="0.2">
      <c r="G703" s="7" t="s">
        <v>1607</v>
      </c>
    </row>
  </sheetData>
  <autoFilter ref="B7:E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F52"/>
  <sheetViews>
    <sheetView topLeftCell="A19" workbookViewId="0">
      <selection activeCell="F49" sqref="F49"/>
    </sheetView>
  </sheetViews>
  <sheetFormatPr defaultColWidth="8.875" defaultRowHeight="14.25" x14ac:dyDescent="0.2"/>
  <cols>
    <col min="1" max="4" width="8.875" style="2" customWidth="1"/>
    <col min="5" max="5" width="30" style="2" customWidth="1"/>
    <col min="6" max="6" width="21.375" style="2" customWidth="1"/>
    <col min="7" max="7" width="8.875" style="2" customWidth="1"/>
    <col min="8" max="16384" width="8.875" style="2"/>
  </cols>
  <sheetData>
    <row r="7" spans="4:6" ht="24" customHeight="1" x14ac:dyDescent="0.2">
      <c r="D7" s="1" t="s">
        <v>0</v>
      </c>
      <c r="E7" s="1" t="s">
        <v>1</v>
      </c>
      <c r="F7" s="1" t="s">
        <v>2</v>
      </c>
    </row>
    <row r="8" spans="4:6" ht="15" x14ac:dyDescent="0.25">
      <c r="D8" s="3">
        <v>1</v>
      </c>
      <c r="E8" s="4" t="s">
        <v>3</v>
      </c>
      <c r="F8" s="4" t="s">
        <v>4</v>
      </c>
    </row>
    <row r="9" spans="4:6" x14ac:dyDescent="0.2">
      <c r="D9" s="3">
        <v>2</v>
      </c>
      <c r="E9" s="2" t="s">
        <v>0</v>
      </c>
    </row>
    <row r="10" spans="4:6" ht="15" x14ac:dyDescent="0.25">
      <c r="D10" s="3">
        <v>3</v>
      </c>
      <c r="E10" s="2" t="s">
        <v>5</v>
      </c>
      <c r="F10" s="4" t="s">
        <v>6</v>
      </c>
    </row>
    <row r="11" spans="4:6" ht="15" x14ac:dyDescent="0.25">
      <c r="D11" s="3">
        <v>4</v>
      </c>
      <c r="E11" s="2" t="s">
        <v>7</v>
      </c>
      <c r="F11" s="4" t="s">
        <v>8</v>
      </c>
    </row>
    <row r="12" spans="4:6" ht="15" x14ac:dyDescent="0.25">
      <c r="D12" s="3">
        <v>5</v>
      </c>
      <c r="E12" s="2" t="s">
        <v>9</v>
      </c>
      <c r="F12" s="4" t="s">
        <v>10</v>
      </c>
    </row>
    <row r="13" spans="4:6" ht="15" x14ac:dyDescent="0.25">
      <c r="D13" s="3">
        <v>6</v>
      </c>
      <c r="E13" s="2" t="s">
        <v>11</v>
      </c>
      <c r="F13" s="4" t="s">
        <v>12</v>
      </c>
    </row>
    <row r="14" spans="4:6" ht="15" x14ac:dyDescent="0.25">
      <c r="D14" s="3">
        <v>7</v>
      </c>
      <c r="E14" s="4" t="s">
        <v>13</v>
      </c>
      <c r="F14" s="4" t="s">
        <v>14</v>
      </c>
    </row>
    <row r="15" spans="4:6" ht="15" x14ac:dyDescent="0.25">
      <c r="D15" s="3">
        <v>8</v>
      </c>
      <c r="E15" s="4" t="s">
        <v>15</v>
      </c>
      <c r="F15" s="4" t="s">
        <v>16</v>
      </c>
    </row>
    <row r="16" spans="4:6" ht="15" x14ac:dyDescent="0.25">
      <c r="D16" s="3">
        <v>9</v>
      </c>
      <c r="E16" s="4" t="s">
        <v>17</v>
      </c>
      <c r="F16" s="4" t="s">
        <v>18</v>
      </c>
    </row>
    <row r="17" spans="4:6" ht="15" x14ac:dyDescent="0.25">
      <c r="D17" s="3">
        <v>10</v>
      </c>
      <c r="E17" s="4" t="s">
        <v>19</v>
      </c>
      <c r="F17" s="4" t="s">
        <v>20</v>
      </c>
    </row>
    <row r="18" spans="4:6" ht="15" x14ac:dyDescent="0.25">
      <c r="D18" s="3">
        <v>11</v>
      </c>
      <c r="E18" s="2" t="s">
        <v>21</v>
      </c>
      <c r="F18" s="4" t="s">
        <v>22</v>
      </c>
    </row>
    <row r="19" spans="4:6" x14ac:dyDescent="0.2">
      <c r="D19" s="3">
        <v>12</v>
      </c>
      <c r="E19" s="2" t="s">
        <v>23</v>
      </c>
      <c r="F19" s="2" t="s">
        <v>24</v>
      </c>
    </row>
    <row r="20" spans="4:6" x14ac:dyDescent="0.2">
      <c r="D20" s="3">
        <v>13</v>
      </c>
      <c r="E20" s="2" t="s">
        <v>25</v>
      </c>
      <c r="F20" s="2" t="s">
        <v>26</v>
      </c>
    </row>
    <row r="21" spans="4:6" ht="15" x14ac:dyDescent="0.25">
      <c r="D21" s="3">
        <v>14</v>
      </c>
      <c r="E21" s="4" t="s">
        <v>27</v>
      </c>
      <c r="F21" s="4" t="s">
        <v>27</v>
      </c>
    </row>
    <row r="22" spans="4:6" ht="15" x14ac:dyDescent="0.25">
      <c r="D22" s="3">
        <v>15</v>
      </c>
      <c r="E22" s="4" t="s">
        <v>28</v>
      </c>
      <c r="F22" s="4" t="s">
        <v>29</v>
      </c>
    </row>
    <row r="23" spans="4:6" ht="15" x14ac:dyDescent="0.25">
      <c r="D23" s="3">
        <v>16</v>
      </c>
      <c r="E23" s="4" t="s">
        <v>30</v>
      </c>
      <c r="F23" s="4" t="s">
        <v>31</v>
      </c>
    </row>
    <row r="24" spans="4:6" ht="15" x14ac:dyDescent="0.25">
      <c r="D24" s="3">
        <v>17</v>
      </c>
      <c r="E24" s="4" t="s">
        <v>32</v>
      </c>
      <c r="F24" s="4" t="s">
        <v>33</v>
      </c>
    </row>
    <row r="25" spans="4:6" ht="15" x14ac:dyDescent="0.25">
      <c r="D25" s="3">
        <v>18</v>
      </c>
      <c r="E25" s="4" t="s">
        <v>34</v>
      </c>
      <c r="F25" s="4" t="s">
        <v>35</v>
      </c>
    </row>
    <row r="26" spans="4:6" ht="15" x14ac:dyDescent="0.25">
      <c r="D26" s="3">
        <v>19</v>
      </c>
      <c r="E26" s="4" t="s">
        <v>36</v>
      </c>
      <c r="F26" s="4" t="s">
        <v>37</v>
      </c>
    </row>
    <row r="27" spans="4:6" ht="15" x14ac:dyDescent="0.25">
      <c r="D27" s="3">
        <v>20</v>
      </c>
      <c r="E27" s="5" t="s">
        <v>38</v>
      </c>
      <c r="F27" s="4" t="s">
        <v>39</v>
      </c>
    </row>
    <row r="28" spans="4:6" ht="15" x14ac:dyDescent="0.25">
      <c r="D28" s="3">
        <v>21</v>
      </c>
      <c r="E28" s="4" t="s">
        <v>40</v>
      </c>
      <c r="F28" s="4" t="s">
        <v>41</v>
      </c>
    </row>
    <row r="29" spans="4:6" ht="15" x14ac:dyDescent="0.25">
      <c r="D29" s="3">
        <v>22</v>
      </c>
      <c r="E29" s="4" t="s">
        <v>42</v>
      </c>
      <c r="F29" s="4" t="s">
        <v>43</v>
      </c>
    </row>
    <row r="30" spans="4:6" ht="15" x14ac:dyDescent="0.25">
      <c r="D30" s="3">
        <v>23</v>
      </c>
      <c r="E30" s="4" t="s">
        <v>44</v>
      </c>
      <c r="F30" s="4" t="s">
        <v>45</v>
      </c>
    </row>
    <row r="31" spans="4:6" ht="15" x14ac:dyDescent="0.25">
      <c r="D31" s="3">
        <v>24</v>
      </c>
      <c r="E31" s="4" t="s">
        <v>46</v>
      </c>
      <c r="F31" s="4" t="s">
        <v>47</v>
      </c>
    </row>
    <row r="32" spans="4:6" ht="15" x14ac:dyDescent="0.25">
      <c r="D32" s="3">
        <v>25</v>
      </c>
      <c r="E32" s="4" t="s">
        <v>48</v>
      </c>
      <c r="F32" s="4" t="s">
        <v>49</v>
      </c>
    </row>
    <row r="33" spans="4:6" ht="15" x14ac:dyDescent="0.25">
      <c r="D33" s="3">
        <v>26</v>
      </c>
      <c r="E33" s="4" t="s">
        <v>50</v>
      </c>
      <c r="F33" s="4" t="s">
        <v>51</v>
      </c>
    </row>
    <row r="34" spans="4:6" ht="15" x14ac:dyDescent="0.25">
      <c r="D34" s="3">
        <v>27</v>
      </c>
      <c r="E34" s="4" t="s">
        <v>52</v>
      </c>
      <c r="F34" s="4" t="s">
        <v>53</v>
      </c>
    </row>
    <row r="35" spans="4:6" x14ac:dyDescent="0.2">
      <c r="D35" s="3">
        <v>28</v>
      </c>
      <c r="E35" s="2" t="s">
        <v>54</v>
      </c>
      <c r="F35" s="2" t="s">
        <v>55</v>
      </c>
    </row>
    <row r="36" spans="4:6" x14ac:dyDescent="0.2">
      <c r="D36" s="3">
        <v>29</v>
      </c>
      <c r="E36" s="2" t="s">
        <v>56</v>
      </c>
      <c r="F36" s="2" t="s">
        <v>57</v>
      </c>
    </row>
    <row r="37" spans="4:6" x14ac:dyDescent="0.2">
      <c r="D37" s="3">
        <v>30</v>
      </c>
      <c r="E37" s="2" t="s">
        <v>58</v>
      </c>
      <c r="F37" s="2" t="s">
        <v>59</v>
      </c>
    </row>
    <row r="38" spans="4:6" x14ac:dyDescent="0.2">
      <c r="D38" s="3">
        <v>31</v>
      </c>
      <c r="E38" s="2" t="s">
        <v>60</v>
      </c>
      <c r="F38" s="2" t="s">
        <v>61</v>
      </c>
    </row>
    <row r="39" spans="4:6" x14ac:dyDescent="0.2">
      <c r="D39" s="3">
        <v>32</v>
      </c>
      <c r="E39" s="2" t="s">
        <v>62</v>
      </c>
      <c r="F39" s="2" t="s">
        <v>63</v>
      </c>
    </row>
    <row r="40" spans="4:6" x14ac:dyDescent="0.2">
      <c r="D40" s="3">
        <v>33</v>
      </c>
      <c r="E40" s="2" t="s">
        <v>64</v>
      </c>
      <c r="F40" s="2" t="s">
        <v>65</v>
      </c>
    </row>
    <row r="41" spans="4:6" x14ac:dyDescent="0.2">
      <c r="D41" s="3">
        <v>34</v>
      </c>
      <c r="E41" s="2" t="s">
        <v>66</v>
      </c>
      <c r="F41" s="2" t="s">
        <v>67</v>
      </c>
    </row>
    <row r="42" spans="4:6" x14ac:dyDescent="0.2">
      <c r="D42" s="3">
        <v>35</v>
      </c>
      <c r="E42" s="2" t="s">
        <v>68</v>
      </c>
      <c r="F42" s="2" t="s">
        <v>69</v>
      </c>
    </row>
    <row r="43" spans="4:6" x14ac:dyDescent="0.2">
      <c r="D43" s="3">
        <v>36</v>
      </c>
      <c r="E43" s="2" t="s">
        <v>70</v>
      </c>
      <c r="F43" s="2" t="s">
        <v>71</v>
      </c>
    </row>
    <row r="44" spans="4:6" x14ac:dyDescent="0.2">
      <c r="D44" s="3">
        <v>37</v>
      </c>
      <c r="E44" s="2" t="s">
        <v>72</v>
      </c>
      <c r="F44" s="2" t="s">
        <v>73</v>
      </c>
    </row>
    <row r="45" spans="4:6" x14ac:dyDescent="0.2">
      <c r="D45" s="3">
        <v>38</v>
      </c>
      <c r="E45" s="2" t="s">
        <v>74</v>
      </c>
      <c r="F45" s="2" t="s">
        <v>75</v>
      </c>
    </row>
    <row r="46" spans="4:6" x14ac:dyDescent="0.2">
      <c r="D46" s="3">
        <v>39</v>
      </c>
      <c r="E46" s="2" t="s">
        <v>76</v>
      </c>
      <c r="F46" s="2" t="s">
        <v>77</v>
      </c>
    </row>
    <row r="47" spans="4:6" x14ac:dyDescent="0.2">
      <c r="D47" s="3">
        <v>40</v>
      </c>
      <c r="E47" s="2" t="s">
        <v>78</v>
      </c>
      <c r="F47" s="2" t="s">
        <v>79</v>
      </c>
    </row>
    <row r="48" spans="4:6" x14ac:dyDescent="0.2">
      <c r="D48" s="3">
        <v>41</v>
      </c>
      <c r="E48" s="2" t="s">
        <v>80</v>
      </c>
      <c r="F48" s="2" t="s">
        <v>81</v>
      </c>
    </row>
    <row r="49" spans="4:6" x14ac:dyDescent="0.2">
      <c r="D49" s="3">
        <v>42</v>
      </c>
      <c r="E49" s="2" t="s">
        <v>82</v>
      </c>
      <c r="F49" s="2" t="s">
        <v>83</v>
      </c>
    </row>
    <row r="50" spans="4:6" x14ac:dyDescent="0.2">
      <c r="D50" s="3">
        <v>43</v>
      </c>
    </row>
    <row r="51" spans="4:6" x14ac:dyDescent="0.2">
      <c r="D51" s="3">
        <v>44</v>
      </c>
    </row>
    <row r="52" spans="4:6" x14ac:dyDescent="0.2">
      <c r="D52" s="3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DanhSachThiSinh</vt:lpstr>
      <vt:lpstr>MaNoiSinh</vt:lpstr>
      <vt:lpstr>Môn thi Cấp độ Dân tộc</vt:lpstr>
      <vt:lpstr>Index</vt:lpstr>
      <vt:lpstr>CAPDO</vt:lpstr>
      <vt:lpstr>DANTOC</vt:lpstr>
      <vt:lpstr>DICHVU</vt:lpstr>
      <vt:lpstr>MANOISINH</vt:lpstr>
      <vt:lpstr>MANS</vt:lpstr>
      <vt:lpstr>MNS</vt:lpstr>
      <vt:lpstr>MONTHI</vt:lpstr>
      <vt:lpstr>NOISINH</vt:lpstr>
      <vt:lpstr>NS</vt:lpstr>
      <vt:lpstr>QUANHUYEN</vt:lpstr>
      <vt:lpstr>tbl_dsmonthicapdodantoc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2018-12-11T04:49:49Z</dcterms:modified>
</cp:coreProperties>
</file>